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missão de Licitações\2025\PREGÃO\EDITAIS\03 - EDITAL 003-2025 LIMPEZA.VIGILÂNCIA\"/>
    </mc:Choice>
  </mc:AlternateContent>
  <bookViews>
    <workbookView xWindow="-105" yWindow="-105" windowWidth="19425" windowHeight="11505" tabRatio="967"/>
  </bookViews>
  <sheets>
    <sheet name="RESUMO" sheetId="9" r:id="rId1"/>
    <sheet name="Produtividade Serventes" sheetId="18" r:id="rId2"/>
    <sheet name="Servente de limpeza" sheetId="2" r:id="rId3"/>
    <sheet name="Insumos Diversos SERVENTE Sede" sheetId="15" r:id="rId4"/>
    <sheet name="Insumos DIV UNIFORME SERVENTE" sheetId="19" r:id="rId5"/>
    <sheet name="ENCARREGADO Servente de limpeza" sheetId="20" r:id="rId6"/>
    <sheet name="Vigilante DIURNO" sheetId="22" r:id="rId7"/>
    <sheet name="Insumos DIV VIGILANTE" sheetId="23" r:id="rId8"/>
    <sheet name="Vigilante NOTURNO" sheetId="27" r:id="rId9"/>
    <sheet name="Insumos DIV VIGILANTE ARMADO" sheetId="28" r:id="rId10"/>
  </sheets>
  <externalReferences>
    <externalReference r:id="rId11"/>
  </externalReferences>
  <definedNames>
    <definedName name="_xlnm.Print_Area" localSheetId="5">'ENCARREGADO Servente de limpeza'!$A$1:$K$174</definedName>
    <definedName name="_xlnm.Print_Area" localSheetId="4">'Insumos DIV UNIFORME SERVENTE'!$B$2:$K$32</definedName>
    <definedName name="_xlnm.Print_Area" localSheetId="7">'Insumos DIV VIGILANTE'!$A$1:$J$30</definedName>
    <definedName name="_xlnm.Print_Area" localSheetId="9">'Insumos DIV VIGILANTE ARMADO'!$A$1:$J$57</definedName>
    <definedName name="_xlnm.Print_Area" localSheetId="3">'Insumos Diversos SERVENTE Sede'!$A$1:$K$79</definedName>
    <definedName name="_xlnm.Print_Area" localSheetId="2">'Servente de limpeza'!$A$1:$K$176</definedName>
    <definedName name="_xlnm.Print_Area" localSheetId="6">'Vigilante DIURNO'!$A$1:$J$175</definedName>
    <definedName name="_xlnm.Print_Area" localSheetId="8">'Vigilante NOTURNO'!$A$1:$J$174</definedName>
    <definedName name="asdf" localSheetId="5">#REF!</definedName>
    <definedName name="asdf" localSheetId="9">#REF!</definedName>
    <definedName name="asdf" localSheetId="8">#REF!</definedName>
    <definedName name="asdf">#REF!</definedName>
    <definedName name="asdff" localSheetId="5">#REF!</definedName>
    <definedName name="asdff" localSheetId="9">#REF!</definedName>
    <definedName name="asdff" localSheetId="8">#REF!</definedName>
    <definedName name="asdff">#REF!</definedName>
    <definedName name="asdfff" localSheetId="5">#REF!</definedName>
    <definedName name="asdfff" localSheetId="9">#REF!</definedName>
    <definedName name="asdfff" localSheetId="8">#REF!</definedName>
    <definedName name="asdfff">#REF!</definedName>
    <definedName name="ISS" localSheetId="5">#REF!</definedName>
    <definedName name="ISS" localSheetId="9">#REF!</definedName>
    <definedName name="ISS" localSheetId="8">#REF!</definedName>
    <definedName name="ISS">#REF!</definedName>
    <definedName name="Serviços">'[1]Dados - Não mexer'!$A:$A</definedName>
    <definedName name="UniformeMensageiro" localSheetId="5">#REF!</definedName>
    <definedName name="UniformeMensageiro" localSheetId="9">#REF!</definedName>
    <definedName name="UniformeMensageiro" localSheetId="8">#REF!</definedName>
    <definedName name="UniformeMensageiro">#REF!</definedName>
    <definedName name="UniformeMensageiros" localSheetId="5">#REF!</definedName>
    <definedName name="UniformeMensageiros" localSheetId="9">#REF!</definedName>
    <definedName name="UniformeMensageiros" localSheetId="8">#REF!</definedName>
    <definedName name="UniformeMensageiros">#REF!</definedName>
    <definedName name="UniformeRecepcionista" localSheetId="5">#REF!</definedName>
    <definedName name="UniformeRecepcionista" localSheetId="9">#REF!</definedName>
    <definedName name="UniformeRecepcionista" localSheetId="8">#REF!</definedName>
    <definedName name="UniformeRecepcionis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5" l="1"/>
  <c r="J24" i="15"/>
  <c r="J21" i="15"/>
  <c r="F12" i="9" l="1"/>
  <c r="F11" i="9"/>
  <c r="G12" i="9" l="1"/>
  <c r="H142" i="27"/>
  <c r="H140" i="27"/>
  <c r="H135" i="27"/>
  <c r="H120" i="27"/>
  <c r="H115" i="27"/>
  <c r="J43" i="28"/>
  <c r="I41" i="28"/>
  <c r="I40" i="28"/>
  <c r="J39" i="28"/>
  <c r="J38" i="28"/>
  <c r="I39" i="28"/>
  <c r="H39" i="28"/>
  <c r="I38" i="28"/>
  <c r="H38" i="28"/>
  <c r="J33" i="28"/>
  <c r="I31" i="28"/>
  <c r="I30" i="28"/>
  <c r="I24" i="28"/>
  <c r="I25" i="28"/>
  <c r="I26" i="28"/>
  <c r="I27" i="28"/>
  <c r="I28" i="28"/>
  <c r="I29" i="28"/>
  <c r="H24" i="28"/>
  <c r="H25" i="28"/>
  <c r="H26" i="28"/>
  <c r="H27" i="28"/>
  <c r="H28" i="28"/>
  <c r="H29" i="28"/>
  <c r="J23" i="28"/>
  <c r="I23" i="28"/>
  <c r="H23" i="28"/>
  <c r="J8" i="28"/>
  <c r="J9" i="28"/>
  <c r="J10" i="28"/>
  <c r="J11" i="28"/>
  <c r="J12" i="28"/>
  <c r="J13" i="28"/>
  <c r="J14" i="28"/>
  <c r="I8" i="28"/>
  <c r="I9" i="28"/>
  <c r="I10" i="28"/>
  <c r="I11" i="28"/>
  <c r="I12" i="28"/>
  <c r="I13" i="28"/>
  <c r="I14" i="28"/>
  <c r="H8" i="28"/>
  <c r="H9" i="28"/>
  <c r="H10" i="28"/>
  <c r="H11" i="28"/>
  <c r="H12" i="28"/>
  <c r="H13" i="28"/>
  <c r="H14" i="28"/>
  <c r="H121" i="27" l="1"/>
  <c r="H126" i="27" s="1"/>
  <c r="H124" i="27"/>
  <c r="I7" i="28"/>
  <c r="J7" i="28" s="1"/>
  <c r="H7" i="28"/>
  <c r="H106" i="27"/>
  <c r="H102" i="27"/>
  <c r="H101" i="27"/>
  <c r="H100" i="27"/>
  <c r="H99" i="27"/>
  <c r="H97" i="27"/>
  <c r="H96" i="27"/>
  <c r="H95" i="27"/>
  <c r="H94" i="27"/>
  <c r="H93" i="27"/>
  <c r="H86" i="27"/>
  <c r="H85" i="27"/>
  <c r="H84" i="27"/>
  <c r="H83" i="27"/>
  <c r="H82" i="27"/>
  <c r="H81" i="27"/>
  <c r="H80" i="27"/>
  <c r="H62" i="27"/>
  <c r="C163" i="27"/>
  <c r="H75" i="27"/>
  <c r="H74" i="27"/>
  <c r="H73" i="27"/>
  <c r="H69" i="27"/>
  <c r="H63" i="27"/>
  <c r="H56" i="27"/>
  <c r="H55" i="27"/>
  <c r="H54" i="27"/>
  <c r="H53" i="27"/>
  <c r="H52" i="27"/>
  <c r="H51" i="27"/>
  <c r="H50" i="27"/>
  <c r="H49" i="27"/>
  <c r="H48" i="27"/>
  <c r="J10" i="23"/>
  <c r="J11" i="23"/>
  <c r="J14" i="23"/>
  <c r="I8" i="23"/>
  <c r="J8" i="23" s="1"/>
  <c r="I9" i="23"/>
  <c r="J9" i="23" s="1"/>
  <c r="I10" i="23"/>
  <c r="I11" i="23"/>
  <c r="I12" i="23"/>
  <c r="J12" i="23" s="1"/>
  <c r="I13" i="23"/>
  <c r="J13" i="23" s="1"/>
  <c r="I14" i="23"/>
  <c r="H8" i="23"/>
  <c r="H9" i="23"/>
  <c r="H10" i="23"/>
  <c r="H11" i="23"/>
  <c r="H12" i="23"/>
  <c r="H13" i="23"/>
  <c r="H14" i="23"/>
  <c r="I7" i="23"/>
  <c r="J7" i="23" s="1"/>
  <c r="I15" i="23" s="1"/>
  <c r="I16" i="23" s="1"/>
  <c r="J18" i="23" s="1"/>
  <c r="H7" i="23"/>
  <c r="H106" i="22"/>
  <c r="H102" i="22"/>
  <c r="H101" i="22"/>
  <c r="H100" i="22"/>
  <c r="H99" i="22"/>
  <c r="H98" i="22"/>
  <c r="H97" i="22"/>
  <c r="H96" i="22"/>
  <c r="H95" i="22"/>
  <c r="H94" i="22"/>
  <c r="H93" i="22"/>
  <c r="H86" i="22"/>
  <c r="H85" i="22"/>
  <c r="H84" i="22"/>
  <c r="H83" i="22"/>
  <c r="H82" i="22"/>
  <c r="H81" i="22"/>
  <c r="H80" i="22"/>
  <c r="H73" i="22"/>
  <c r="H69" i="22"/>
  <c r="H56" i="22"/>
  <c r="H55" i="22"/>
  <c r="H54" i="22"/>
  <c r="H53" i="22"/>
  <c r="H52" i="22"/>
  <c r="H51" i="22"/>
  <c r="H50" i="22"/>
  <c r="H49" i="22"/>
  <c r="H48" i="22"/>
  <c r="H136" i="20"/>
  <c r="H107" i="20"/>
  <c r="H103" i="20"/>
  <c r="H102" i="20"/>
  <c r="H101" i="20"/>
  <c r="H100" i="20"/>
  <c r="H87" i="20"/>
  <c r="H77" i="20"/>
  <c r="H70" i="20"/>
  <c r="H57" i="20"/>
  <c r="C156" i="20"/>
  <c r="C156" i="2"/>
  <c r="H64" i="20"/>
  <c r="G63" i="20"/>
  <c r="K23" i="19"/>
  <c r="J21" i="19"/>
  <c r="J20" i="19"/>
  <c r="J8" i="19"/>
  <c r="I8" i="19"/>
  <c r="H125" i="27" l="1"/>
  <c r="H128" i="27"/>
  <c r="K8" i="19"/>
  <c r="J10" i="19"/>
  <c r="J12" i="19"/>
  <c r="J14" i="19"/>
  <c r="J16" i="19"/>
  <c r="J18" i="19"/>
  <c r="I10" i="19"/>
  <c r="I12" i="19"/>
  <c r="I14" i="19"/>
  <c r="I16" i="19"/>
  <c r="I18" i="19"/>
  <c r="J55" i="15"/>
  <c r="J31" i="15"/>
  <c r="J56" i="15" s="1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30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7" i="15"/>
  <c r="J58" i="15" l="1"/>
  <c r="J59" i="15"/>
  <c r="J60" i="15" l="1"/>
  <c r="F39" i="28" l="1"/>
  <c r="D28" i="18" l="1"/>
  <c r="H113" i="27" l="1"/>
  <c r="J29" i="28"/>
  <c r="J28" i="28"/>
  <c r="J27" i="28"/>
  <c r="J26" i="28"/>
  <c r="J25" i="28"/>
  <c r="J24" i="28"/>
  <c r="K16" i="19"/>
  <c r="H35" i="27"/>
  <c r="B161" i="27"/>
  <c r="B160" i="27"/>
  <c r="E160" i="27" s="1"/>
  <c r="E149" i="27"/>
  <c r="A155" i="27" s="1"/>
  <c r="C149" i="27"/>
  <c r="G131" i="27"/>
  <c r="G99" i="27"/>
  <c r="G83" i="27"/>
  <c r="G82" i="27"/>
  <c r="G80" i="27"/>
  <c r="G81" i="27" s="1"/>
  <c r="G50" i="27"/>
  <c r="G56" i="27" s="1"/>
  <c r="G84" i="27" s="1"/>
  <c r="G42" i="27"/>
  <c r="H32" i="27"/>
  <c r="H112" i="27" l="1"/>
  <c r="I15" i="28"/>
  <c r="I16" i="28" s="1"/>
  <c r="J18" i="28" s="1"/>
  <c r="H111" i="27" s="1"/>
  <c r="A166" i="27"/>
  <c r="G62" i="27"/>
  <c r="B163" i="27"/>
  <c r="B166" i="27" s="1"/>
  <c r="G100" i="27"/>
  <c r="G101" i="27" s="1"/>
  <c r="H33" i="27"/>
  <c r="H37" i="27" s="1"/>
  <c r="G85" i="27"/>
  <c r="H42" i="27" l="1"/>
  <c r="B152" i="27"/>
  <c r="C152" i="27" s="1"/>
  <c r="B155" i="27" s="1"/>
  <c r="C155" i="27" s="1"/>
  <c r="H61" i="27" s="1"/>
  <c r="H98" i="27"/>
  <c r="H43" i="27"/>
  <c r="C166" i="27"/>
  <c r="H107" i="27" l="1"/>
  <c r="H138" i="27" s="1"/>
  <c r="H137" i="27"/>
  <c r="H44" i="27"/>
  <c r="H76" i="27" l="1"/>
  <c r="H136" i="27" s="1"/>
  <c r="B161" i="22" l="1"/>
  <c r="B160" i="22"/>
  <c r="E160" i="22"/>
  <c r="C149" i="22"/>
  <c r="E149" i="22" s="1"/>
  <c r="A155" i="22" s="1"/>
  <c r="G131" i="22"/>
  <c r="G99" i="22"/>
  <c r="G83" i="22"/>
  <c r="G82" i="22"/>
  <c r="G80" i="22"/>
  <c r="G81" i="22" s="1"/>
  <c r="G50" i="22"/>
  <c r="G56" i="22" s="1"/>
  <c r="G42" i="22"/>
  <c r="H32" i="22"/>
  <c r="H33" i="22" s="1"/>
  <c r="H37" i="22" l="1"/>
  <c r="H63" i="22" s="1"/>
  <c r="B163" i="22"/>
  <c r="A166" i="22"/>
  <c r="G62" i="22"/>
  <c r="G85" i="22"/>
  <c r="G84" i="22"/>
  <c r="G100" i="22"/>
  <c r="C163" i="22" l="1"/>
  <c r="B166" i="22" s="1"/>
  <c r="C166" i="22" s="1"/>
  <c r="H62" i="22" s="1"/>
  <c r="H111" i="22"/>
  <c r="H115" i="22" s="1"/>
  <c r="H139" i="22" s="1"/>
  <c r="H139" i="27"/>
  <c r="B152" i="22"/>
  <c r="C152" i="22" s="1"/>
  <c r="B155" i="22" s="1"/>
  <c r="C155" i="22" s="1"/>
  <c r="H61" i="22" s="1"/>
  <c r="H43" i="22"/>
  <c r="H135" i="22"/>
  <c r="H42" i="22"/>
  <c r="G101" i="22"/>
  <c r="H137" i="22" l="1"/>
  <c r="H44" i="22"/>
  <c r="H107" i="22"/>
  <c r="H138" i="22" s="1"/>
  <c r="H75" i="22"/>
  <c r="H130" i="27" l="1"/>
  <c r="H131" i="27" s="1"/>
  <c r="H74" i="22"/>
  <c r="H76" i="22" s="1"/>
  <c r="H136" i="22" s="1"/>
  <c r="H140" i="22" s="1"/>
  <c r="H120" i="22" s="1"/>
  <c r="H141" i="27" l="1"/>
  <c r="H143" i="27" s="1"/>
  <c r="H121" i="22"/>
  <c r="H124" i="22" s="1"/>
  <c r="H125" i="22" l="1"/>
  <c r="H128" i="22"/>
  <c r="H126" i="22"/>
  <c r="H130" i="22"/>
  <c r="H131" i="22" l="1"/>
  <c r="H141" i="22" s="1"/>
  <c r="H142" i="22" s="1"/>
  <c r="H143" i="22" l="1"/>
  <c r="F8" i="18"/>
  <c r="B162" i="20"/>
  <c r="B161" i="20"/>
  <c r="E161" i="20" s="1"/>
  <c r="C150" i="20"/>
  <c r="E150" i="20" s="1"/>
  <c r="A156" i="20" s="1"/>
  <c r="G132" i="20"/>
  <c r="G100" i="20"/>
  <c r="G84" i="20"/>
  <c r="G83" i="20"/>
  <c r="G82" i="20"/>
  <c r="G81" i="20"/>
  <c r="G51" i="20"/>
  <c r="G57" i="20" s="1"/>
  <c r="G43" i="20"/>
  <c r="H34" i="20"/>
  <c r="H21" i="20"/>
  <c r="H20" i="20"/>
  <c r="H19" i="20"/>
  <c r="G132" i="2"/>
  <c r="K10" i="19"/>
  <c r="K12" i="19"/>
  <c r="K14" i="19"/>
  <c r="K18" i="19"/>
  <c r="H34" i="2"/>
  <c r="H36" i="2" s="1"/>
  <c r="G11" i="9" l="1"/>
  <c r="G13" i="9" s="1"/>
  <c r="F13" i="9"/>
  <c r="A167" i="20"/>
  <c r="B164" i="20"/>
  <c r="C164" i="20" s="1"/>
  <c r="B167" i="20" s="1"/>
  <c r="H38" i="20"/>
  <c r="H36" i="20"/>
  <c r="H112" i="20"/>
  <c r="H84" i="20"/>
  <c r="G101" i="20"/>
  <c r="G85" i="20"/>
  <c r="H85" i="20" s="1"/>
  <c r="G86" i="20"/>
  <c r="H86" i="20" s="1"/>
  <c r="H83" i="20"/>
  <c r="H81" i="20"/>
  <c r="H43" i="20"/>
  <c r="H95" i="20"/>
  <c r="H97" i="20"/>
  <c r="B153" i="20"/>
  <c r="C153" i="20" s="1"/>
  <c r="B156" i="20" s="1"/>
  <c r="H62" i="20" s="1"/>
  <c r="H96" i="20"/>
  <c r="H99" i="20"/>
  <c r="H82" i="20"/>
  <c r="H112" i="2" l="1"/>
  <c r="H94" i="20"/>
  <c r="H98" i="20"/>
  <c r="H44" i="20"/>
  <c r="G102" i="20"/>
  <c r="C167" i="20"/>
  <c r="H63" i="20" s="1"/>
  <c r="H76" i="20" s="1"/>
  <c r="H45" i="20"/>
  <c r="H53" i="20" s="1"/>
  <c r="H138" i="20"/>
  <c r="H50" i="20"/>
  <c r="H108" i="20"/>
  <c r="H139" i="20" s="1"/>
  <c r="H51" i="20"/>
  <c r="H49" i="20"/>
  <c r="H74" i="20" l="1"/>
  <c r="H54" i="20"/>
  <c r="H56" i="20"/>
  <c r="H55" i="20"/>
  <c r="H52" i="20"/>
  <c r="H75" i="20" l="1"/>
  <c r="H137" i="20" s="1"/>
  <c r="B162" i="2" l="1"/>
  <c r="B161" i="2"/>
  <c r="I64" i="15" l="1"/>
  <c r="I63" i="15"/>
  <c r="I62" i="15"/>
  <c r="I60" i="15"/>
  <c r="E161" i="2"/>
  <c r="B164" i="2" s="1"/>
  <c r="C164" i="2" s="1"/>
  <c r="B167" i="2" s="1"/>
  <c r="C150" i="2"/>
  <c r="E150" i="2" s="1"/>
  <c r="A156" i="2" s="1"/>
  <c r="G100" i="2"/>
  <c r="G84" i="2"/>
  <c r="G83" i="2"/>
  <c r="G81" i="2"/>
  <c r="G82" i="2" s="1"/>
  <c r="G51" i="2"/>
  <c r="G57" i="2" s="1"/>
  <c r="G101" i="2" s="1"/>
  <c r="G43" i="2"/>
  <c r="H21" i="2"/>
  <c r="H20" i="2"/>
  <c r="H19" i="2"/>
  <c r="E42" i="18"/>
  <c r="E41" i="18"/>
  <c r="J31" i="18"/>
  <c r="F31" i="18"/>
  <c r="J26" i="18"/>
  <c r="F26" i="18"/>
  <c r="J24" i="18"/>
  <c r="F24" i="18"/>
  <c r="J22" i="18"/>
  <c r="F22" i="18"/>
  <c r="D19" i="18"/>
  <c r="E40" i="18" s="1"/>
  <c r="F18" i="18"/>
  <c r="F17" i="18"/>
  <c r="F16" i="18"/>
  <c r="F15" i="18"/>
  <c r="F12" i="18"/>
  <c r="D11" i="18"/>
  <c r="F11" i="18" s="1"/>
  <c r="D10" i="18"/>
  <c r="F9" i="18"/>
  <c r="D13" i="18" l="1"/>
  <c r="E39" i="18" s="1"/>
  <c r="I43" i="18" s="1"/>
  <c r="G102" i="2"/>
  <c r="F28" i="18"/>
  <c r="G63" i="2"/>
  <c r="E4" i="9"/>
  <c r="H18" i="2"/>
  <c r="H18" i="20"/>
  <c r="F10" i="18"/>
  <c r="F33" i="18" s="1"/>
  <c r="F34" i="18" s="1"/>
  <c r="F35" i="18" s="1"/>
  <c r="F19" i="18"/>
  <c r="G86" i="2"/>
  <c r="G85" i="2"/>
  <c r="A167" i="2"/>
  <c r="C167" i="2" s="1"/>
  <c r="H63" i="2" s="1"/>
  <c r="H38" i="2"/>
  <c r="H64" i="2" s="1"/>
  <c r="I65" i="15"/>
  <c r="J62" i="15" s="1"/>
  <c r="J64" i="15" l="1"/>
  <c r="J63" i="15"/>
  <c r="F13" i="18"/>
  <c r="B153" i="2"/>
  <c r="C153" i="2" s="1"/>
  <c r="B156" i="2" s="1"/>
  <c r="H62" i="2" s="1"/>
  <c r="H96" i="2"/>
  <c r="H94" i="2"/>
  <c r="H101" i="2"/>
  <c r="H86" i="2"/>
  <c r="H82" i="2"/>
  <c r="H99" i="2"/>
  <c r="H95" i="2"/>
  <c r="H85" i="2"/>
  <c r="H83" i="2"/>
  <c r="H81" i="2"/>
  <c r="H98" i="2"/>
  <c r="H44" i="2"/>
  <c r="H136" i="2"/>
  <c r="H97" i="2"/>
  <c r="H84" i="2"/>
  <c r="H43" i="2"/>
  <c r="H45" i="2" s="1"/>
  <c r="H74" i="2" s="1"/>
  <c r="J65" i="15" l="1"/>
  <c r="I66" i="15" s="1"/>
  <c r="I67" i="15" s="1"/>
  <c r="H70" i="2"/>
  <c r="H76" i="2" s="1"/>
  <c r="H113" i="2"/>
  <c r="H116" i="2" s="1"/>
  <c r="H140" i="2" s="1"/>
  <c r="H113" i="20"/>
  <c r="H116" i="20" s="1"/>
  <c r="H140" i="20" s="1"/>
  <c r="H141" i="20" s="1"/>
  <c r="H49" i="2"/>
  <c r="H55" i="2"/>
  <c r="H52" i="2"/>
  <c r="H53" i="2"/>
  <c r="H100" i="2"/>
  <c r="H102" i="2" s="1"/>
  <c r="H54" i="2"/>
  <c r="H51" i="2"/>
  <c r="H87" i="2"/>
  <c r="H138" i="2" s="1"/>
  <c r="H56" i="2"/>
  <c r="H50" i="2"/>
  <c r="H121" i="20" l="1"/>
  <c r="H107" i="2"/>
  <c r="H108" i="2" s="1"/>
  <c r="H139" i="2" s="1"/>
  <c r="H57" i="2"/>
  <c r="H75" i="2" s="1"/>
  <c r="H77" i="2" s="1"/>
  <c r="H137" i="2" s="1"/>
  <c r="H103" i="2" s="1"/>
  <c r="H122" i="20" l="1"/>
  <c r="H125" i="20" s="1"/>
  <c r="I45" i="18"/>
  <c r="H141" i="2"/>
  <c r="H127" i="20" l="1"/>
  <c r="H126" i="20"/>
  <c r="H132" i="20" s="1"/>
  <c r="H142" i="20" s="1"/>
  <c r="H143" i="20" s="1"/>
  <c r="H131" i="20"/>
  <c r="H129" i="20"/>
  <c r="H121" i="2"/>
  <c r="H122" i="2" s="1"/>
  <c r="H129" i="2" s="1"/>
  <c r="H126" i="2" l="1"/>
  <c r="F5" i="9"/>
  <c r="G5" i="9" s="1"/>
  <c r="H127" i="2"/>
  <c r="H131" i="2"/>
  <c r="H125" i="2"/>
  <c r="H132" i="2" l="1"/>
  <c r="H142" i="2" s="1"/>
  <c r="H143" i="2" s="1"/>
  <c r="H8" i="18" s="1"/>
  <c r="I12" i="18" s="1"/>
  <c r="J12" i="18" s="1"/>
  <c r="H144" i="20"/>
  <c r="I11" i="18" l="1"/>
  <c r="J11" i="18" s="1"/>
  <c r="H144" i="2"/>
  <c r="I10" i="18"/>
  <c r="J10" i="18" s="1"/>
  <c r="I9" i="18"/>
  <c r="J9" i="18" s="1"/>
  <c r="K22" i="18"/>
  <c r="H15" i="18"/>
  <c r="I15" i="18" s="1"/>
  <c r="J15" i="18" s="1"/>
  <c r="K31" i="18"/>
  <c r="L31" i="18" s="1"/>
  <c r="M31" i="18" s="1"/>
  <c r="I8" i="18"/>
  <c r="J8" i="18" s="1"/>
  <c r="N31" i="18" l="1"/>
  <c r="H42" i="18" s="1"/>
  <c r="I42" i="18" s="1"/>
  <c r="L22" i="18"/>
  <c r="J13" i="18"/>
  <c r="I16" i="18"/>
  <c r="J16" i="18" s="1"/>
  <c r="J19" i="18" s="1"/>
  <c r="K15" i="18" s="1"/>
  <c r="I18" i="18"/>
  <c r="J18" i="18" s="1"/>
  <c r="I17" i="18"/>
  <c r="J17" i="18" s="1"/>
  <c r="K8" i="18" l="1"/>
  <c r="H39" i="18" s="1"/>
  <c r="I39" i="18" s="1"/>
  <c r="M24" i="18"/>
  <c r="M26" i="18"/>
  <c r="M22" i="18"/>
  <c r="H40" i="18"/>
  <c r="I40" i="18" s="1"/>
  <c r="M28" i="18" l="1"/>
  <c r="N22" i="18" l="1"/>
  <c r="H41" i="18" s="1"/>
  <c r="I41" i="18" s="1"/>
  <c r="I44" i="18" l="1"/>
  <c r="I46" i="18" s="1"/>
  <c r="F4" i="9" s="1"/>
  <c r="G4" i="9" l="1"/>
  <c r="G6" i="9" s="1"/>
  <c r="G15" i="9" s="1"/>
  <c r="F6" i="9"/>
  <c r="F15" i="9" s="1"/>
</calcChain>
</file>

<file path=xl/comments1.xml><?xml version="1.0" encoding="utf-8"?>
<comments xmlns="http://schemas.openxmlformats.org/spreadsheetml/2006/main">
  <authors>
    <author>Jaqueline Muchagata</author>
  </authors>
  <commentList>
    <comment ref="B6" authorId="0" shapeId="0">
      <text>
        <r>
          <rPr>
            <b/>
            <sz val="9"/>
            <color indexed="81"/>
            <rFont val="Segoe UI"/>
            <family val="2"/>
          </rPr>
          <t>Luciana Santos:</t>
        </r>
        <r>
          <rPr>
            <sz val="9"/>
            <color indexed="81"/>
            <rFont val="Segoe UI"/>
            <family val="2"/>
          </rPr>
          <t xml:space="preserve">
conforme IN 005/2017 - Anexo VI-B</t>
        </r>
      </text>
    </comment>
    <comment ref="B20" authorId="0" shapeId="0">
      <text>
        <r>
          <rPr>
            <b/>
            <sz val="9"/>
            <color indexed="81"/>
            <rFont val="Segoe UI"/>
            <family val="2"/>
          </rPr>
          <t xml:space="preserve">Luciana Santos:
</t>
        </r>
        <r>
          <rPr>
            <sz val="9"/>
            <color indexed="81"/>
            <rFont val="Segoe UI"/>
            <family val="2"/>
          </rPr>
          <t>conforme IN 005/2017 - Anexo VI-B</t>
        </r>
      </text>
    </comment>
    <comment ref="B30" authorId="0" shapeId="0">
      <text>
        <r>
          <rPr>
            <b/>
            <sz val="9"/>
            <color indexed="81"/>
            <rFont val="Segoe UI"/>
            <family val="2"/>
          </rPr>
          <t>Luciana Santos:</t>
        </r>
        <r>
          <rPr>
            <sz val="9"/>
            <color indexed="81"/>
            <rFont val="Segoe UI"/>
            <family val="2"/>
          </rPr>
          <t xml:space="preserve">
conforme IN 005/2017 - Anexo VI-B</t>
        </r>
      </text>
    </comment>
  </commentList>
</comments>
</file>

<file path=xl/comments2.xml><?xml version="1.0" encoding="utf-8"?>
<comments xmlns="http://schemas.openxmlformats.org/spreadsheetml/2006/main">
  <authors>
    <author/>
    <author>Luciana Freire D Eca Nogueira</author>
  </authors>
  <commentList>
    <comment ref="G48" authorId="0" shapeId="0">
      <text>
        <r>
          <rPr>
            <sz val="11"/>
            <color theme="1"/>
            <rFont val="Calibri"/>
            <family val="2"/>
            <scheme val="minor"/>
          </rPr>
          <t>Os percentuais dos encargos previdenciários, do FGTS e demais contribuições são aqueles estabelecidos pela legislação vigente.</t>
        </r>
      </text>
    </comment>
    <comment ref="G49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  <comment ref="G57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Esses percentuais incidem sobre o Módulo 1, o Submódulo 2.1.</t>
        </r>
      </text>
    </comment>
    <comment ref="H62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Parágrafo único do art. 4º da Lei nº 7.418, de 16 de dezembro de 1985:
“ O empregador participará dos gastos de deslocamento do trabalhador com a
ajuda de custo equivalente à parcela que exceder a 6% (seis por cento) de seu salário básico."</t>
        </r>
      </text>
    </comment>
    <comment ref="G63" authorId="0" shapeId="0">
      <text>
        <r>
          <rPr>
            <sz val="11"/>
            <color theme="1"/>
            <rFont val="Calibri"/>
            <family val="2"/>
            <scheme val="minor"/>
          </rPr>
          <t>Inserir valor mensal do benefício.</t>
        </r>
      </text>
    </comment>
    <comment ref="H63" authorId="1" shapeId="0">
      <text>
        <r>
          <rPr>
            <b/>
            <sz val="9"/>
            <color indexed="81"/>
            <rFont val="Segoe UI"/>
            <family val="2"/>
          </rPr>
          <t>Luciana Freire D Eca Nogueira:
CCT GO000026/2025</t>
        </r>
        <r>
          <rPr>
            <sz val="9"/>
            <color indexed="81"/>
            <rFont val="Segoe UI"/>
            <family val="2"/>
          </rPr>
          <t xml:space="preserve">
CLÁUSULA DÉCIMA TERCEIRA - AUXÍLIO ALIMENTAÇÃO 
A partir de 01º de janeiro de 2025, o auxílio alimentação de que trata a Cláusula Terceira Caput e Parágrafos Primeiro e Segundo desta CCT passará de R$ 20,00 (vinte reais) para R$ 25,00 (vinte e cinco reais) para qualquer dia trabalhado cuja a jornada seja acima de 06h (seis horas) inclusive aos sábados, e somente será devido nos dias efetivamente trabalhados.
Parágrafo Primeiro. Fica facultado às empresas que aderirem ao PAT, o pagamento do Auxílio Alimentação, em tíquete alimentação ou tíquete refeição exclusivamente em vales ou cartão magnético, ou a refeição propriamente dita entregues em refeitório que atendam as exigências do atual Ministério da Economia, vedado a entrega de marmitas ou marmitex, pagos por dia trabalhado no valor de R$ 25,00 (vinte e cinco reais) limitados a 22 (vinte e dois dias) no mês passando de R$ 440,00 (quatrocentos e quarenta reais) mensal para R$ 550,00 (quinhentos e cinquenta reais)  a ser pago ou entregue no 25º (vigésimo quinto) dia do mês subsequente.</t>
        </r>
      </text>
    </comment>
    <comment ref="B80" authorId="0" shapeId="0">
      <text>
        <r>
          <rPr>
            <sz val="11"/>
            <color theme="1"/>
            <rFont val="Calibri"/>
            <family val="2"/>
            <scheme val="minor"/>
          </rPr>
          <t>Os itens que contemplam o módulo 4 se referem ao custo dos dias trabalhados pelo repositor/substituto, quando o empregado alocado na prestação de serviço estiver ausente, conforme as previsões estabelecidas na legislação.</t>
        </r>
      </text>
    </comment>
    <comment ref="G81" authorId="0" shapeId="0">
      <text>
        <r>
          <rPr>
            <sz val="11"/>
            <color theme="1"/>
            <rFont val="Calibri"/>
            <family val="2"/>
            <scheme val="minor"/>
          </rPr>
          <t>Os artigos 477 e 487 a 491 da CLT, a Lei nº 12.506, de 11 de outubro de 2011, e o Acórdão TCU nº 2.217/2010 - Plenário remetem a respeito desse assunto. 
Estudos do CNJ - Resolução 98/2009 apontam que 5,55% dos trabalhadores são demitidos com API.
A base de cálculo do Aviso Prévio Indenizado, bem como o índice balizador:
(5%) x (1/12) = 0,42% incide sobre a base de cálculo.
OBS:
5% = dado estatístico, em regra, utilizado. Estudos do CNJ - Resolução 98/2009.
1/12= (1 mês não trabalhado/12 meses)</t>
        </r>
      </text>
    </comment>
    <comment ref="G82" authorId="0" shapeId="0">
      <text>
        <r>
          <rPr>
            <sz val="11"/>
            <color theme="1"/>
            <rFont val="Calibri"/>
            <family val="2"/>
            <scheme val="minor"/>
          </rPr>
          <t>A Súmula nº 305 do TST e o Acórdão TCU nº 2.217/2010 - Plenário abordam sobre a incidência do FGTS. A base de cálculo da Incidência do FGTS sobre o Aviso Prévio Indenizado, bem como o índice balizador:
(FGTS%) x (% API) = X% incide sobre a base de cálculo.</t>
        </r>
      </text>
    </comment>
    <comment ref="A83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3" authorId="0" shapeId="0">
      <text>
        <r>
          <rPr>
            <sz val="11"/>
            <color theme="1"/>
            <rFont val="Calibri"/>
            <family val="2"/>
            <scheme val="minor"/>
          </rPr>
          <t>Máximo 3,47%
Nesse item é importante destacar a Lei nº 8.036, de 11 de maio de 1990 (artigo 18, § 1º) com redação dada pela Lei nº 9.491, de 9 de setembro de 1997, e a Lei Complementar nº 110, de 29 de junho de 2001, pois ambas abordam sobre esse tema. A base de cálculo da Multa do FGTS e Contribuição Social sobre o Aviso Prévio Indenizado, bem como o índice balizador, está descrito:
[0,08*0,40*0,9]*(1+0,0833+0,09075+0,03025) = 3,47% incide sobre a base de cálculo
OBS:
(0,08) = Alíquota do FGTS (8%)
(0,40) = Valor da Multa do FGTS indenizado (40%)
(0,90) = 90% dos funcionários remanescentes (LC nº110/2001. Estudos CNJ – Resolução nº 98/2009)
1= remuneração integral 
(0,0833) = % do 13º salário
(0,09075) = % de férias (definida pela IN nº 5)
(0,03025) = % adicional de férias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G84" authorId="0" shapeId="0">
      <text>
        <r>
          <rPr>
            <sz val="11"/>
            <color theme="1"/>
            <rFont val="Calibri"/>
            <family val="2"/>
            <scheme val="minor"/>
          </rPr>
          <t>Acórdão do TCU nº 1.186/2017 Plenário   
9.2. determinar ... que, nas futuras contratações de mão de obra terceirizada, esteja expresso na minuta do contrato que a parcela mensal a título de aviso prévio trabalhado será no percentual máximo de 1,94% no primeiro ano, nos termos dos Acórdãos 1904/2007-TCU-Plenário e 3006/2010-TCU-Plenário, e, em caso de prorrogação do contrato, o percentual máximo dessa parcela será de 0,194% a cada ano de prorrogação, a ser incluído por ocasião da formulação do aditivo da prorrogação do contrato, conforme ditames da Lei 12.506/2011;
A Constituição Federal de 1988, em seu artigo 7º, inciso XXI, e os artigos 477, 487 a 491 da CLT instituem o Aviso Prévio Trabalhado. Na elaboração da Planilha de Custos é importante que a área demandante se atente às recomendações dos Acórdãos TCU nº 3.006/2010 e nº 1.094/2007 - Plenário. 
A base de cálculo do Aviso Prévio Trabalhado, bem como o índice balizador:
[(1/30)*7]/12 = 1,94% sobre a base de cálculo
OBS:
1 = remuneração integral
30 = número de dias no mês
7 = nº de dias de aviso prévio a que o empregado tem direito de se ausentar
12 = nº de meses no ano
Custos não renováveis:
- Acordão 1.586/2018 plenário TCU firmou entendimento que o APT é custo não renovável. 
- Nota Técnica 652/2017 MPDG deixa claro que a não renovação atinge o APT e API.</t>
        </r>
      </text>
    </comment>
    <comment ref="G85" authorId="0" shapeId="0">
      <text>
        <r>
          <rPr>
            <sz val="11"/>
            <color theme="1"/>
            <rFont val="Calibri"/>
            <family val="2"/>
            <scheme val="minor"/>
          </rPr>
          <t>Esse índice incide sobre o percentual do Submódulo 2.2 e sobre o valor do Aviso Prévio Trabalhado.
(% do Submódulo 2.2) x (% Aviso Prévio Trabalhado)= X% incide sobre a base de cálculo.</t>
        </r>
      </text>
    </comment>
    <comment ref="A86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6" authorId="0" shapeId="0">
      <text>
        <r>
          <rPr>
            <sz val="11"/>
            <color theme="1"/>
            <rFont val="Calibri"/>
            <family val="2"/>
            <scheme val="minor"/>
          </rPr>
          <t>A base de cálculo e o índice balizador da Multa do FGTS sobre o Aviso Prévio Trabalhado:
[0,08 x 0,4] x [% Incidência dos Encargos do Submódulo 2.2] = 0,02 % incide sobre a base de cálculo
OBS:
(0,08) = Alíquota do FGTS
(0,40) = Valor da Multa do FGTS trabalhado
(% Incidência dos Encargos do Submódulo 2.2) = % do item E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B94" authorId="0" shapeId="0">
      <text>
        <r>
          <rPr>
            <sz val="11"/>
            <color theme="1"/>
            <rFont val="Calibri"/>
            <family val="2"/>
            <scheme val="minor"/>
          </rPr>
          <t>Férias: Art. 129 da CLT</t>
        </r>
      </text>
    </comment>
    <comment ref="B95" authorId="0" shapeId="0">
      <text>
        <r>
          <rPr>
            <sz val="11"/>
            <color theme="1"/>
            <rFont val="Calibri"/>
            <family val="2"/>
            <scheme val="minor"/>
          </rPr>
          <t>Ausência Legal: Art. 473 da CLT</t>
        </r>
      </text>
    </comment>
    <comment ref="B96" authorId="0" shapeId="0">
      <text>
        <r>
          <rPr>
            <sz val="11"/>
            <color theme="1"/>
            <rFont val="Calibri"/>
            <family val="2"/>
            <scheme val="minor"/>
          </rPr>
          <t>Afastamento Paternidade: inciso II do art. 1º da Lei nº 11.770, de 9 de setembro de 2008</t>
        </r>
      </text>
    </comment>
    <comment ref="B97" authorId="0" shapeId="0">
      <text>
        <r>
          <rPr>
            <sz val="11"/>
            <color theme="1"/>
            <rFont val="Calibri"/>
            <family val="2"/>
            <scheme val="minor"/>
          </rPr>
          <t>Acidente de Trabalho: § 2º do art. 43 da Lei 8.213, de 24 de julho de 1991</t>
        </r>
      </text>
    </comment>
    <comment ref="B98" authorId="0" shapeId="0">
      <text>
        <r>
          <rPr>
            <sz val="11"/>
            <color theme="1"/>
            <rFont val="Calibri"/>
            <family val="2"/>
            <scheme val="minor"/>
          </rPr>
          <t>Afastamento Maternidade: inciso I do art. 1º da Lei nº 11.770, de 9 de setembro de 2008</t>
        </r>
      </text>
    </comment>
    <comment ref="H103" authorId="0" shapeId="0">
      <text>
        <r>
          <rPr>
            <sz val="11"/>
            <color theme="1"/>
            <rFont val="Calibri"/>
            <family val="2"/>
            <scheme val="minor"/>
          </rPr>
          <t>Custo do dia  
Somatório total dos módulos 1, 2 e 3 
O resultado divide por 30 dias</t>
        </r>
      </text>
    </comment>
    <comment ref="B127" authorId="0" shapeId="0">
      <text>
        <r>
          <rPr>
            <sz val="11"/>
            <color theme="1"/>
            <rFont val="Calibri"/>
            <family val="2"/>
            <scheme val="minor"/>
          </rPr>
          <t>A sigla CPRB corresponde à Contribuição Previdenciária sobre a Receita Bruta - instituída pelo art. 8º da Lei 12.546/2011. Utiliza-se também o termo "Desoneração da Folha de Pagamento" para caracterizar o tributo, pois, em tese, a CPRB tende a ser menor que a contribuição previdenciária calculada sobre a folha.</t>
        </r>
      </text>
    </comment>
    <comment ref="G127" authorId="0" shapeId="0">
      <text>
        <r>
          <rPr>
            <sz val="11"/>
            <color theme="1"/>
            <rFont val="Calibri"/>
            <family val="2"/>
            <scheme val="minor"/>
          </rPr>
          <t>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</commentList>
</comments>
</file>

<file path=xl/comments3.xml><?xml version="1.0" encoding="utf-8"?>
<comments xmlns="http://schemas.openxmlformats.org/spreadsheetml/2006/main">
  <authors>
    <author/>
    <author>Luciana Freire D Eca Nogueira</author>
  </authors>
  <commentList>
    <comment ref="G48" authorId="0" shapeId="0">
      <text>
        <r>
          <rPr>
            <sz val="11"/>
            <color theme="1"/>
            <rFont val="Calibri"/>
            <family val="2"/>
            <scheme val="minor"/>
          </rPr>
          <t>Os percentuais dos encargos previdenciários, do FGTS e demais contribuições são aqueles estabelecidos pela legislação vigente.</t>
        </r>
      </text>
    </comment>
    <comment ref="G49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  <comment ref="G57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Esses percentuais incidem sobre o Módulo 1, o Submódulo 2.1.</t>
        </r>
      </text>
    </comment>
    <comment ref="H62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Parágrafo único do art. 4º da Lei nº 7.418, de 16 de dezembro de 1985:
“ O empregador participará dos gastos de deslocamento do trabalhador com a
ajuda de custo equivalente à parcela que exceder a 6% (seis por cento) de seu salário básico."</t>
        </r>
      </text>
    </comment>
    <comment ref="G63" authorId="0" shapeId="0">
      <text>
        <r>
          <rPr>
            <sz val="11"/>
            <color theme="1"/>
            <rFont val="Calibri"/>
            <family val="2"/>
            <scheme val="minor"/>
          </rPr>
          <t>Inserir valor mensal do benefício.</t>
        </r>
      </text>
    </comment>
    <comment ref="H63" authorId="1" shapeId="0">
      <text>
        <r>
          <rPr>
            <b/>
            <sz val="9"/>
            <color indexed="81"/>
            <rFont val="Segoe UI"/>
            <family val="2"/>
          </rPr>
          <t>Luciana Freire D Eca Nogueira:
CCT GO000026/2025</t>
        </r>
        <r>
          <rPr>
            <sz val="9"/>
            <color indexed="81"/>
            <rFont val="Segoe UI"/>
            <family val="2"/>
          </rPr>
          <t xml:space="preserve">
CLÁUSULA DÉCIMA TERCEIRA - AUXÍLIO ALIMENTAÇÃO 
A partir de 01º de janeiro de 2025, o auxílio alimentação de que trata a Cláusula Terceira Caput e Parágrafos Primeiro e Segundo desta CCT passará de R$ 20,00 (vinte reais) para R$ 25,00 (vinte e cinco reais) para qualquer dia trabalhado cuja a jornada seja acima de 06h (seis horas) inclusive aos sábados, e somente será devido nos dias efetivamente trabalhados.
Parágrafo Primeiro. Fica facultado às empresas que aderirem ao PAT, o pagamento do Auxílio Alimentação, em tíquete alimentação ou tíquete refeição exclusivamente em vales ou cartão magnético, ou a refeição propriamente dita entregues em refeitório que atendam as exigências do atual Ministério da Economia, vedado a entrega de marmitas ou marmitex, pagos por dia trabalhado no valor de R$ 25,00 (vinte e cinco reais) limitados a 22 (vinte e dois dias) no mês passando de R$ 440,00 (quatrocentos e quarenta reais) mensal para R$ 550,00 (quinhentos e cinquenta reais)  a ser pago ou entregue no 25º (vigésimo quinto) dia do mês subsequente.</t>
        </r>
      </text>
    </comment>
    <comment ref="B80" authorId="0" shapeId="0">
      <text>
        <r>
          <rPr>
            <sz val="11"/>
            <color theme="1"/>
            <rFont val="Calibri"/>
            <family val="2"/>
            <scheme val="minor"/>
          </rPr>
          <t>Os itens que contemplam o módulo 4 se referem ao custo dos dias trabalhados pelo repositor/substituto, quando o empregado alocado na prestação de serviço estiver ausente, conforme as previsões estabelecidas na legislação.</t>
        </r>
      </text>
    </comment>
    <comment ref="G81" authorId="0" shapeId="0">
      <text>
        <r>
          <rPr>
            <sz val="11"/>
            <color theme="1"/>
            <rFont val="Calibri"/>
            <family val="2"/>
            <scheme val="minor"/>
          </rPr>
          <t>Os artigos 477 e 487 a 491 da CLT, a Lei nº 12.506, de 11 de outubro de 2011, e o Acórdão TCU nº 2.217/2010 - Plenário remetem a respeito desse assunto. 
Estudos do CNJ - Resolução 98/2009 apontam que 5,55% dos trabalhadores são demitidos com API.
A base de cálculo do Aviso Prévio Indenizado, bem como o índice balizador:
(5%) x (1/12) = 0,42% incide sobre a base de cálculo.
OBS:
5% = dado estatístico, em regra, utilizado. Estudos do CNJ - Resolução 98/2009.
1/12= (1 mês não trabalhado/12 meses)</t>
        </r>
      </text>
    </comment>
    <comment ref="G82" authorId="0" shapeId="0">
      <text>
        <r>
          <rPr>
            <sz val="11"/>
            <color theme="1"/>
            <rFont val="Calibri"/>
            <family val="2"/>
            <scheme val="minor"/>
          </rPr>
          <t>A Súmula nº 305 do TST e o Acórdão TCU nº 2.217/2010 - Plenário abordam sobre a incidência do FGTS. A base de cálculo da Incidência do FGTS sobre o Aviso Prévio Indenizado, bem como o índice balizador:
(FGTS%) x (% API) = X% incide sobre a base de cálculo.</t>
        </r>
      </text>
    </comment>
    <comment ref="A83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3" authorId="0" shapeId="0">
      <text>
        <r>
          <rPr>
            <sz val="11"/>
            <color theme="1"/>
            <rFont val="Calibri"/>
            <family val="2"/>
            <scheme val="minor"/>
          </rPr>
          <t>Máximo 3,47%
Nesse item é importante destacar a Lei nº 8.036, de 11 de maio de 1990 (artigo 18, § 1º) com redação dada pela Lei nº 9.491, de 9 de setembro de 1997, e a Lei Complementar nº 110, de 29 de junho de 2001, pois ambas abordam sobre esse tema. A base de cálculo da Multa do FGTS e Contribuição Social sobre o Aviso Prévio Indenizado, bem como o índice balizador, está descrito:
[0,08*0,40*0,9]*(1+0,0833+0,09075+0,03025) = 3,47% incide sobre a base de cálculo
OBS:
(0,08) = Alíquota do FGTS (8%)
(0,40) = Valor da Multa do FGTS indenizado (40%)
(0,90) = 90% dos funcionários remanescentes (LC nº110/2001. Estudos CNJ – Resolução nº 98/2009)
1= remuneração integral 
(0,0833) = % do 13º salário
(0,09075) = % de férias (definida pela IN nº 5)
(0,03025) = % adicional de férias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G84" authorId="0" shapeId="0">
      <text>
        <r>
          <rPr>
            <sz val="11"/>
            <color theme="1"/>
            <rFont val="Calibri"/>
            <family val="2"/>
            <scheme val="minor"/>
          </rPr>
          <t>Acórdão do TCU nº 1.186/2017 Plenário   
9.2. determinar ... que, nas futuras contratações de mão de obra terceirizada, esteja expresso na minuta do contrato que a parcela mensal a título de aviso prévio trabalhado será no percentual máximo de 1,94% no primeiro ano, nos termos dos Acórdãos 1904/2007-TCU-Plenário e 3006/2010-TCU-Plenário, e, em caso de prorrogação do contrato, o percentual máximo dessa parcela será de 0,194% a cada ano de prorrogação, a ser incluído por ocasião da formulação do aditivo da prorrogação do contrato, conforme ditames da Lei 12.506/2011;
A Constituição Federal de 1988, em seu artigo 7º, inciso XXI, e os artigos 477, 487 a 491 da CLT instituem o Aviso Prévio Trabalhado. Na elaboração da Planilha de Custos é importante que a área demandante se atente às recomendações dos Acórdãos TCU nº 3.006/2010 e nº 1.094/2007 - Plenário. 
A base de cálculo do Aviso Prévio Trabalhado, bem como o índice balizador:
[(1/30)*7]/12 = 1,94% sobre a base de cálculo
OBS:
1 = remuneração integral
30 = número de dias no mês
7 = nº de dias de aviso prévio a que o empregado tem direito de se ausentar
12 = nº de meses no ano
Custos não renováveis:
- Acordão 1.586/2018 plenário TCU firmou entendimento que o APT é custo não renovável. 
- Nota Técnica 652/2017 MPDG deixa claro que a não renovação atinge o APT e API.</t>
        </r>
      </text>
    </comment>
    <comment ref="G85" authorId="0" shapeId="0">
      <text>
        <r>
          <rPr>
            <sz val="11"/>
            <color theme="1"/>
            <rFont val="Calibri"/>
            <family val="2"/>
            <scheme val="minor"/>
          </rPr>
          <t>Esse índice incide sobre o percentual do Submódulo 2.2 e sobre o valor do Aviso Prévio Trabalhado.
(% do Submódulo 2.2) x (% Aviso Prévio Trabalhado)= X% incide sobre a base de cálculo.</t>
        </r>
      </text>
    </comment>
    <comment ref="A86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6" authorId="0" shapeId="0">
      <text>
        <r>
          <rPr>
            <sz val="11"/>
            <color theme="1"/>
            <rFont val="Calibri"/>
            <family val="2"/>
            <scheme val="minor"/>
          </rPr>
          <t>A base de cálculo e o índice balizador da Multa do FGTS sobre o Aviso Prévio Trabalhado:
[0,08 x 0,4] x [% Incidência dos Encargos do Submódulo 2.2] = 0,02 % incide sobre a base de cálculo
OBS:
(0,08) = Alíquota do FGTS
(0,40) = Valor da Multa do FGTS trabalhado
(% Incidência dos Encargos do Submódulo 2.2) = % do item E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B94" authorId="0" shapeId="0">
      <text>
        <r>
          <rPr>
            <sz val="11"/>
            <color theme="1"/>
            <rFont val="Calibri"/>
            <family val="2"/>
            <scheme val="minor"/>
          </rPr>
          <t>Férias: Art. 129 da CLT</t>
        </r>
      </text>
    </comment>
    <comment ref="B95" authorId="0" shapeId="0">
      <text>
        <r>
          <rPr>
            <sz val="11"/>
            <color theme="1"/>
            <rFont val="Calibri"/>
            <family val="2"/>
            <scheme val="minor"/>
          </rPr>
          <t>Ausência Legal: Art. 473 da CLT</t>
        </r>
      </text>
    </comment>
    <comment ref="B96" authorId="0" shapeId="0">
      <text>
        <r>
          <rPr>
            <sz val="11"/>
            <color theme="1"/>
            <rFont val="Calibri"/>
            <family val="2"/>
            <scheme val="minor"/>
          </rPr>
          <t>Afastamento Paternidade: inciso II do art. 1º da Lei nº 11.770, de 9 de setembro de 2008</t>
        </r>
      </text>
    </comment>
    <comment ref="B97" authorId="0" shapeId="0">
      <text>
        <r>
          <rPr>
            <sz val="11"/>
            <color theme="1"/>
            <rFont val="Calibri"/>
            <family val="2"/>
            <scheme val="minor"/>
          </rPr>
          <t>Acidente de Trabalho: § 2º do art. 43 da Lei 8.213, de 24 de julho de 1991</t>
        </r>
      </text>
    </comment>
    <comment ref="B98" authorId="0" shapeId="0">
      <text>
        <r>
          <rPr>
            <sz val="11"/>
            <color theme="1"/>
            <rFont val="Calibri"/>
            <family val="2"/>
            <scheme val="minor"/>
          </rPr>
          <t>Afastamento Maternidade: inciso I do art. 1º da Lei nº 11.770, de 9 de setembro de 2008</t>
        </r>
      </text>
    </comment>
    <comment ref="H103" authorId="0" shapeId="0">
      <text>
        <r>
          <rPr>
            <sz val="11"/>
            <color theme="1"/>
            <rFont val="Calibri"/>
            <family val="2"/>
            <scheme val="minor"/>
          </rPr>
          <t>Custo do dia  
Somatório total dos módulos 1, 2 e 3 
O resultado divide por 30 dias</t>
        </r>
      </text>
    </comment>
    <comment ref="B127" authorId="0" shapeId="0">
      <text>
        <r>
          <rPr>
            <sz val="11"/>
            <color theme="1"/>
            <rFont val="Calibri"/>
            <family val="2"/>
            <scheme val="minor"/>
          </rPr>
          <t>A sigla CPRB corresponde à Contribuição Previdenciária sobre a Receita Bruta - instituída pelo art. 8º da Lei 12.546/2011. Utiliza-se também o termo "Desoneração da Folha de Pagamento" para caracterizar o tributo, pois, em tese, a CPRB tende a ser menor que a contribuição previdenciária calculada sobre a folha.</t>
        </r>
      </text>
    </comment>
    <comment ref="G127" authorId="0" shapeId="0">
      <text>
        <r>
          <rPr>
            <sz val="11"/>
            <color theme="1"/>
            <rFont val="Calibri"/>
            <family val="2"/>
            <scheme val="minor"/>
          </rPr>
          <t>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</commentList>
</comments>
</file>

<file path=xl/comments4.xml><?xml version="1.0" encoding="utf-8"?>
<comments xmlns="http://schemas.openxmlformats.org/spreadsheetml/2006/main">
  <authors>
    <author/>
    <author>Luciana Freire D Eca Nogueira</author>
  </authors>
  <commentList>
    <comment ref="G47" authorId="0" shapeId="0">
      <text>
        <r>
          <rPr>
            <sz val="11"/>
            <color theme="1"/>
            <rFont val="Calibri"/>
            <family val="2"/>
            <scheme val="minor"/>
          </rPr>
          <t>Os percentuais dos encargos previdenciários, do FGTS e demais contribuições são aqueles estabelecidos pela legislação vigente.</t>
        </r>
      </text>
    </comment>
    <comment ref="G48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  <comment ref="G56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Esses percentuais incidem sobre o Módulo 1, o Submódulo 2.1.</t>
        </r>
      </text>
    </comment>
    <comment ref="H61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Parágrafo único do art. 4º da Lei nº 7.418, de 16 de dezembro de 1985:
“ O empregador participará dos gastos de deslocamento do trabalhador com a
ajuda de custo equivalente à parcela que exceder a 6% (seis por cento) de seu salário básico."</t>
        </r>
      </text>
    </comment>
    <comment ref="G62" authorId="0" shapeId="0">
      <text>
        <r>
          <rPr>
            <sz val="11"/>
            <color theme="1"/>
            <rFont val="Calibri"/>
            <family val="2"/>
            <scheme val="minor"/>
          </rPr>
          <t>Inserir valor mensal do benefício.</t>
        </r>
      </text>
    </comment>
    <comment ref="H62" authorId="1" shapeId="0">
      <text>
        <r>
          <rPr>
            <b/>
            <sz val="9"/>
            <color indexed="81"/>
            <rFont val="Segoe UI"/>
            <family val="2"/>
          </rPr>
          <t>Luciana Freire D Eca Nogueira:
CCT GO000026/2025</t>
        </r>
        <r>
          <rPr>
            <sz val="9"/>
            <color indexed="81"/>
            <rFont val="Segoe UI"/>
            <family val="2"/>
          </rPr>
          <t xml:space="preserve">
CLÁUSULA DÉCIMA TERCEIRA - AUXÍLIO ALIMENTAÇÃO 
A partir de 01º de janeiro de 2025, o auxílio alimentação de que trata a Cláusula Terceira Caput e Parágrafos Primeiro e Segundo desta CCT passará de R$ 20,00 (vinte reais) para R$ 25,00 (vinte e cinco reais) para qualquer dia trabalhado cuja a jornada seja acima de 06h (seis horas) inclusive aos sábados, e somente será devido nos dias efetivamente trabalhados.
Parágrafo Primeiro. Fica facultado às empresas que aderirem ao PAT, o pagamento do Auxílio Alimentação, em tíquete alimentação ou tíquete refeição exclusivamente em vales ou cartão magnético, ou a refeição propriamente dita entregues em refeitório que atendam as exigências do atual Ministério da Economia, vedado a entrega de marmitas ou marmitex, pagos por dia trabalhado no valor de R$ 25,00 (vinte e cinco reais) limitados a 22 (vinte e dois dias) no mês passando de R$ 440,00 (quatrocentos e quarenta reais) mensal para R$ 550,00 (quinhentos e cinquenta reais)  a ser pago ou entregue no 25º (vigésimo quinto) dia do mês subsequente.</t>
        </r>
      </text>
    </comment>
    <comment ref="B79" authorId="0" shapeId="0">
      <text>
        <r>
          <rPr>
            <sz val="11"/>
            <color theme="1"/>
            <rFont val="Calibri"/>
            <family val="2"/>
            <scheme val="minor"/>
          </rPr>
          <t>Os itens que contemplam o módulo 4 se referem ao custo dos dias trabalhados pelo repositor/substituto, quando o empregado alocado na prestação de serviço estiver ausente, conforme as previsões estabelecidas na legislação.</t>
        </r>
      </text>
    </comment>
    <comment ref="G80" authorId="0" shapeId="0">
      <text>
        <r>
          <rPr>
            <sz val="11"/>
            <color theme="1"/>
            <rFont val="Calibri"/>
            <family val="2"/>
            <scheme val="minor"/>
          </rPr>
          <t>Os artigos 477 e 487 a 491 da CLT, a Lei nº 12.506, de 11 de outubro de 2011, e o Acórdão TCU nº 2.217/2010 - Plenário remetem a respeito desse assunto. 
Estudos do CNJ - Resolução 98/2009 apontam que 5,55% dos trabalhadores são demitidos com API.
A base de cálculo do Aviso Prévio Indenizado, bem como o índice balizador:
(5%) x (1/12) = 0,42% incide sobre a base de cálculo.
OBS:
5% = dado estatístico, em regra, utilizado. Estudos do CNJ - Resolução 98/2009.
1/12= (1 mês não trabalhado/12 meses)</t>
        </r>
      </text>
    </comment>
    <comment ref="G81" authorId="0" shapeId="0">
      <text>
        <r>
          <rPr>
            <sz val="11"/>
            <color theme="1"/>
            <rFont val="Calibri"/>
            <family val="2"/>
            <scheme val="minor"/>
          </rPr>
          <t>A Súmula nº 305 do TST e o Acórdão TCU nº 2.217/2010 - Plenário abordam sobre a incidência do FGTS. A base de cálculo da Incidência do FGTS sobre o Aviso Prévio Indenizado, bem como o índice balizador:
(FGTS%) x (% API) = X% incide sobre a base de cálculo.</t>
        </r>
      </text>
    </comment>
    <comment ref="A82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2" authorId="0" shapeId="0">
      <text>
        <r>
          <rPr>
            <sz val="11"/>
            <color theme="1"/>
            <rFont val="Calibri"/>
            <family val="2"/>
            <scheme val="minor"/>
          </rPr>
          <t>Máximo 3,47%
Nesse item é importante destacar a Lei nº 8.036, de 11 de maio de 1990 (artigo 18, § 1º) com redação dada pela Lei nº 9.491, de 9 de setembro de 1997, e a Lei Complementar nº 110, de 29 de junho de 2001, pois ambas abordam sobre esse tema. A base de cálculo da Multa do FGTS e Contribuição Social sobre o Aviso Prévio Indenizado, bem como o índice balizador, está descrito:
[0,08*0,40*0,9]*(1+0,0833+0,09075+0,03025) = 3,47% incide sobre a base de cálculo
OBS:
(0,08) = Alíquota do FGTS (8%)
(0,40) = Valor da Multa do FGTS indenizado (40%)
(0,90) = 90% dos funcionários remanescentes (LC nº110/2001. Estudos CNJ – Resolução nº 98/2009)
1= remuneração integral 
(0,0833) = % do 13º salário
(0,09075) = % de férias (definida pela IN nº 5)
(0,03025) = % adicional de férias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G83" authorId="0" shapeId="0">
      <text>
        <r>
          <rPr>
            <sz val="11"/>
            <color theme="1"/>
            <rFont val="Calibri"/>
            <family val="2"/>
            <scheme val="minor"/>
          </rPr>
          <t>Acórdão do TCU nº 1.186/2017 Plenário   
9.2. determinar ... que, nas futuras contratações de mão de obra terceirizada, esteja expresso na minuta do contrato que a parcela mensal a título de aviso prévio trabalhado será no percentual máximo de 1,94% no primeiro ano, nos termos dos Acórdãos 1904/2007-TCU-Plenário e 3006/2010-TCU-Plenário, e, em caso de prorrogação do contrato, o percentual máximo dessa parcela será de 0,194% a cada ano de prorrogação, a ser incluído por ocasião da formulação do aditivo da prorrogação do contrato, conforme ditames da Lei 12.506/2011;
A Constituição Federal de 1988, em seu artigo 7º, inciso XXI, e os artigos 477, 487 a 491 da CLT instituem o Aviso Prévio Trabalhado. Na elaboração da Planilha de Custos é importante que a área demandante se atente às recomendações dos Acórdãos TCU nº 3.006/2010 e nº 1.094/2007 - Plenário. 
A base de cálculo do Aviso Prévio Trabalhado, bem como o índice balizador:
[(1/30)*7]/12 = 1,94% sobre a base de cálculo
OBS:
1 = remuneração integral
30 = número de dias no mês
7 = nº de dias de aviso prévio a que o empregado tem direito de se ausentar
12 = nº de meses no ano
Custos não renováveis:
- Acordão 1.586/2018 plenário TCU firmou entendimento que o APT é custo não renovável. 
- Nota Técnica 652/2017 MPDG deixa claro que a não renovação atinge o APT e API.</t>
        </r>
      </text>
    </comment>
    <comment ref="G84" authorId="0" shapeId="0">
      <text>
        <r>
          <rPr>
            <sz val="11"/>
            <color theme="1"/>
            <rFont val="Calibri"/>
            <family val="2"/>
            <scheme val="minor"/>
          </rPr>
          <t>Esse índice incide sobre o percentual do Submódulo 2.2 e sobre o valor do Aviso Prévio Trabalhado.
(% do Submódulo 2.2) x (% Aviso Prévio Trabalhado)= X% incide sobre a base de cálculo.</t>
        </r>
      </text>
    </comment>
    <comment ref="A85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5" authorId="0" shapeId="0">
      <text>
        <r>
          <rPr>
            <sz val="11"/>
            <color theme="1"/>
            <rFont val="Calibri"/>
            <family val="2"/>
            <scheme val="minor"/>
          </rPr>
          <t>A base de cálculo e o índice balizador da Multa do FGTS sobre o Aviso Prévio Trabalhado:
[0,08 x 0,4] x [% Incidência dos Encargos do Submódulo 2.2] = 0,02 % incide sobre a base de cálculo
OBS:
(0,08) = Alíquota do FGTS
(0,40) = Valor da Multa do FGTS trabalhado
(% Incidência dos Encargos do Submódulo 2.2) = % do item E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B93" authorId="0" shapeId="0">
      <text>
        <r>
          <rPr>
            <sz val="11"/>
            <color theme="1"/>
            <rFont val="Calibri"/>
            <family val="2"/>
            <scheme val="minor"/>
          </rPr>
          <t>Férias: Art. 129 da CLT</t>
        </r>
      </text>
    </comment>
    <comment ref="B94" authorId="0" shapeId="0">
      <text>
        <r>
          <rPr>
            <sz val="11"/>
            <color theme="1"/>
            <rFont val="Calibri"/>
            <family val="2"/>
            <scheme val="minor"/>
          </rPr>
          <t>Ausência Legal: Art. 473 da CLT</t>
        </r>
      </text>
    </comment>
    <comment ref="B95" authorId="0" shapeId="0">
      <text>
        <r>
          <rPr>
            <sz val="11"/>
            <color theme="1"/>
            <rFont val="Calibri"/>
            <family val="2"/>
            <scheme val="minor"/>
          </rPr>
          <t>Afastamento Paternidade: inciso II do art. 1º da Lei nº 11.770, de 9 de setembro de 2008</t>
        </r>
      </text>
    </comment>
    <comment ref="B96" authorId="0" shapeId="0">
      <text>
        <r>
          <rPr>
            <sz val="11"/>
            <color theme="1"/>
            <rFont val="Calibri"/>
            <family val="2"/>
            <scheme val="minor"/>
          </rPr>
          <t>Acidente de Trabalho: § 2º do art. 43 da Lei 8.213, de 24 de julho de 1991</t>
        </r>
      </text>
    </comment>
    <comment ref="B97" authorId="0" shapeId="0">
      <text>
        <r>
          <rPr>
            <sz val="11"/>
            <color theme="1"/>
            <rFont val="Calibri"/>
            <family val="2"/>
            <scheme val="minor"/>
          </rPr>
          <t>Afastamento Maternidade: inciso I do art. 1º da Lei nº 11.770, de 9 de setembro de 2008</t>
        </r>
      </text>
    </comment>
    <comment ref="H102" authorId="0" shapeId="0">
      <text>
        <r>
          <rPr>
            <sz val="11"/>
            <color theme="1"/>
            <rFont val="Calibri"/>
            <family val="2"/>
            <scheme val="minor"/>
          </rPr>
          <t>Custo do dia  
Somatório total dos módulos 1, 2 e 3 
O resultado divide por 30 dias</t>
        </r>
      </text>
    </comment>
    <comment ref="B126" authorId="0" shapeId="0">
      <text>
        <r>
          <rPr>
            <sz val="11"/>
            <color theme="1"/>
            <rFont val="Calibri"/>
            <family val="2"/>
            <scheme val="minor"/>
          </rPr>
          <t>A sigla CPRB corresponde à Contribuição Previdenciária sobre a Receita Bruta - instituída pelo art. 8º da Lei 12.546/2011. Utiliza-se também o termo "Desoneração da Folha de Pagamento" para caracterizar o tributo, pois, em tese, a CPRB tende a ser menor que a contribuição previdenciária calculada sobre a folha.</t>
        </r>
      </text>
    </comment>
    <comment ref="G126" authorId="0" shapeId="0">
      <text>
        <r>
          <rPr>
            <sz val="11"/>
            <color theme="1"/>
            <rFont val="Calibri"/>
            <family val="2"/>
            <scheme val="minor"/>
          </rPr>
          <t>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</commentList>
</comments>
</file>

<file path=xl/comments5.xml><?xml version="1.0" encoding="utf-8"?>
<comments xmlns="http://schemas.openxmlformats.org/spreadsheetml/2006/main">
  <authors>
    <author/>
    <author>Luciana Freire D Eca Nogueira</author>
  </authors>
  <commentList>
    <comment ref="G47" authorId="0" shapeId="0">
      <text>
        <r>
          <rPr>
            <sz val="11"/>
            <color theme="1"/>
            <rFont val="Calibri"/>
            <family val="2"/>
            <scheme val="minor"/>
          </rPr>
          <t>Os percentuais dos encargos previdenciários, do FGTS e demais contribuições são aqueles estabelecidos pela legislação vigente.</t>
        </r>
      </text>
    </comment>
    <comment ref="G48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  <comment ref="G56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Esses percentuais incidem sobre o Módulo 1, o Submódulo 2.1.</t>
        </r>
      </text>
    </comment>
    <comment ref="H61" authorId="1" shapeId="0">
      <text>
        <r>
          <rPr>
            <b/>
            <sz val="9"/>
            <color indexed="81"/>
            <rFont val="Segoe UI"/>
            <family val="2"/>
          </rPr>
          <t>Luciana Freire D Eca Nogueira:</t>
        </r>
        <r>
          <rPr>
            <sz val="9"/>
            <color indexed="81"/>
            <rFont val="Segoe UI"/>
            <family val="2"/>
          </rPr>
          <t xml:space="preserve">
Parágrafo único do art. 4º da Lei nº 7.418, de 16 de dezembro de 1985:
“ O empregador participará dos gastos de deslocamento do trabalhador com a
ajuda de custo equivalente à parcela que exceder a 6% (seis por cento) de seu salário básico."</t>
        </r>
      </text>
    </comment>
    <comment ref="G62" authorId="0" shapeId="0">
      <text>
        <r>
          <rPr>
            <sz val="11"/>
            <color theme="1"/>
            <rFont val="Calibri"/>
            <family val="2"/>
            <scheme val="minor"/>
          </rPr>
          <t>Inserir valor mensal do benefício.</t>
        </r>
      </text>
    </comment>
    <comment ref="H62" authorId="1" shapeId="0">
      <text>
        <r>
          <rPr>
            <b/>
            <sz val="9"/>
            <color indexed="81"/>
            <rFont val="Segoe UI"/>
            <family val="2"/>
          </rPr>
          <t>Luciana Freire D Eca Nogueira:
CCT GO000026/2025</t>
        </r>
        <r>
          <rPr>
            <sz val="9"/>
            <color indexed="81"/>
            <rFont val="Segoe UI"/>
            <family val="2"/>
          </rPr>
          <t xml:space="preserve">
CLÁUSULA DÉCIMA TERCEIRA - AUXÍLIO ALIMENTAÇÃO 
A partir de 01º de janeiro de 2025, o auxílio alimentação de que trata a Cláusula Terceira Caput e Parágrafos Primeiro e Segundo desta CCT passará de R$ 20,00 (vinte reais) para R$ 25,00 (vinte e cinco reais) para qualquer dia trabalhado cuja a jornada seja acima de 06h (seis horas) inclusive aos sábados, e somente será devido nos dias efetivamente trabalhados.
Parágrafo Primeiro. Fica facultado às empresas que aderirem ao PAT, o pagamento do Auxílio Alimentação, em tíquete alimentação ou tíquete refeição exclusivamente em vales ou cartão magnético, ou a refeição propriamente dita entregues em refeitório que atendam as exigências do atual Ministério da Economia, vedado a entrega de marmitas ou marmitex, pagos por dia trabalhado no valor de R$ 25,00 (vinte e cinco reais) limitados a 22 (vinte e dois dias) no mês passando de R$ 440,00 (quatrocentos e quarenta reais) mensal para R$ 550,00 (quinhentos e cinquenta reais)  a ser pago ou entregue no 25º (vigésimo quinto) dia do mês subsequente.</t>
        </r>
      </text>
    </comment>
    <comment ref="B79" authorId="0" shapeId="0">
      <text>
        <r>
          <rPr>
            <sz val="11"/>
            <color theme="1"/>
            <rFont val="Calibri"/>
            <family val="2"/>
            <scheme val="minor"/>
          </rPr>
          <t>Os itens que contemplam o módulo 4 se referem ao custo dos dias trabalhados pelo repositor/substituto, quando o empregado alocado na prestação de serviço estiver ausente, conforme as previsões estabelecidas na legislação.</t>
        </r>
      </text>
    </comment>
    <comment ref="G80" authorId="0" shapeId="0">
      <text>
        <r>
          <rPr>
            <sz val="11"/>
            <color theme="1"/>
            <rFont val="Calibri"/>
            <family val="2"/>
            <scheme val="minor"/>
          </rPr>
          <t>Os artigos 477 e 487 a 491 da CLT, a Lei nº 12.506, de 11 de outubro de 2011, e o Acórdão TCU nº 2.217/2010 - Plenário remetem a respeito desse assunto. 
Estudos do CNJ - Resolução 98/2009 apontam que 5,55% dos trabalhadores são demitidos com API.
A base de cálculo do Aviso Prévio Indenizado, bem como o índice balizador:
(5%) x (1/12) = 0,42% incide sobre a base de cálculo.
OBS:
5% = dado estatístico, em regra, utilizado. Estudos do CNJ - Resolução 98/2009.
1/12= (1 mês não trabalhado/12 meses)</t>
        </r>
      </text>
    </comment>
    <comment ref="G81" authorId="0" shapeId="0">
      <text>
        <r>
          <rPr>
            <sz val="11"/>
            <color theme="1"/>
            <rFont val="Calibri"/>
            <family val="2"/>
            <scheme val="minor"/>
          </rPr>
          <t>A Súmula nº 305 do TST e o Acórdão TCU nº 2.217/2010 - Plenário abordam sobre a incidência do FGTS. A base de cálculo da Incidência do FGTS sobre o Aviso Prévio Indenizado, bem como o índice balizador:
(FGTS%) x (% API) = X% incide sobre a base de cálculo.</t>
        </r>
      </text>
    </comment>
    <comment ref="A82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2" authorId="0" shapeId="0">
      <text>
        <r>
          <rPr>
            <sz val="11"/>
            <color theme="1"/>
            <rFont val="Calibri"/>
            <family val="2"/>
            <scheme val="minor"/>
          </rPr>
          <t>Máximo 3,47%
Nesse item é importante destacar a Lei nº 8.036, de 11 de maio de 1990 (artigo 18, § 1º) com redação dada pela Lei nº 9.491, de 9 de setembro de 1997, e a Lei Complementar nº 110, de 29 de junho de 2001, pois ambas abordam sobre esse tema. A base de cálculo da Multa do FGTS e Contribuição Social sobre o Aviso Prévio Indenizado, bem como o índice balizador, está descrito:
[0,08*0,40*0,9]*(1+0,0833+0,09075+0,03025) = 3,47% incide sobre a base de cálculo
OBS:
(0,08) = Alíquota do FGTS (8%)
(0,40) = Valor da Multa do FGTS indenizado (40%)
(0,90) = 90% dos funcionários remanescentes (LC nº110/2001. Estudos CNJ – Resolução nº 98/2009)
1= remuneração integral 
(0,0833) = % do 13º salário
(0,09075) = % de férias (definida pela IN nº 5)
(0,03025) = % adicional de férias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G83" authorId="0" shapeId="0">
      <text>
        <r>
          <rPr>
            <sz val="11"/>
            <color theme="1"/>
            <rFont val="Calibri"/>
            <family val="2"/>
            <scheme val="minor"/>
          </rPr>
          <t>Acórdão do TCU nº 1.186/2017 Plenário   
9.2. determinar ... que, nas futuras contratações de mão de obra terceirizada, esteja expresso na minuta do contrato que a parcela mensal a título de aviso prévio trabalhado será no percentual máximo de 1,94% no primeiro ano, nos termos dos Acórdãos 1904/2007-TCU-Plenário e 3006/2010-TCU-Plenário, e, em caso de prorrogação do contrato, o percentual máximo dessa parcela será de 0,194% a cada ano de prorrogação, a ser incluído por ocasião da formulação do aditivo da prorrogação do contrato, conforme ditames da Lei 12.506/2011;
A Constituição Federal de 1988, em seu artigo 7º, inciso XXI, e os artigos 477, 487 a 491 da CLT instituem o Aviso Prévio Trabalhado. Na elaboração da Planilha de Custos é importante que a área demandante se atente às recomendações dos Acórdãos TCU nº 3.006/2010 e nº 1.094/2007 - Plenário. 
A base de cálculo do Aviso Prévio Trabalhado, bem como o índice balizador:
[(1/30)*7]/12 = 1,94% sobre a base de cálculo
OBS:
1 = remuneração integral
30 = número de dias no mês
7 = nº de dias de aviso prévio a que o empregado tem direito de se ausentar
12 = nº de meses no ano
Custos não renováveis:
- Acordão 1.586/2018 plenário TCU firmou entendimento que o APT é custo não renovável. 
- Nota Técnica 652/2017 MPDG deixa claro que a não renovação atinge o APT e API.</t>
        </r>
      </text>
    </comment>
    <comment ref="G84" authorId="0" shapeId="0">
      <text>
        <r>
          <rPr>
            <sz val="11"/>
            <color theme="1"/>
            <rFont val="Calibri"/>
            <family val="2"/>
            <scheme val="minor"/>
          </rPr>
          <t>Esse índice incide sobre o percentual do Submódulo 2.2 e sobre o valor do Aviso Prévio Trabalhado.
(% do Submódulo 2.2) x (% Aviso Prévio Trabalhado)= X% incide sobre a base de cálculo.</t>
        </r>
      </text>
    </comment>
    <comment ref="A85" authorId="0" shapeId="0">
      <text>
        <r>
          <rPr>
            <sz val="11"/>
            <color theme="1"/>
            <rFont val="Calibri"/>
            <family val="2"/>
            <scheme val="minor"/>
          </rPr>
          <t>CUSTO RENOVÁVEL</t>
        </r>
      </text>
    </comment>
    <comment ref="G85" authorId="0" shapeId="0">
      <text>
        <r>
          <rPr>
            <sz val="11"/>
            <color theme="1"/>
            <rFont val="Calibri"/>
            <family val="2"/>
            <scheme val="minor"/>
          </rPr>
          <t>A base de cálculo e o índice balizador da Multa do FGTS sobre o Aviso Prévio Trabalhado:
[0,08 x 0,4] x [% Incidência dos Encargos do Submódulo 2.2] = 0,02 % incide sobre a base de cálculo
OBS:
(0,08) = Alíquota do FGTS
(0,40) = Valor da Multa do FGTS trabalhado
(% Incidência dos Encargos do Submódulo 2.2) = % do item E
Lei nº 13.932, de 11 de dezembro de 2019
"Art. 12. A partir de 1º de janeiro de 2020, fica extinta a contribuição social instituída por meio do art. 1º da Lei Complementar nº 110, de 29 de junho de 2001."
Orientações SEGES:
Para as novas contratações:
a) Devem ser adequadas à nova lei, ou seja, devem excluir da planilha de formação de preços - Módulo 'Provisão para Rescisão' da Planilha de Custo (Anexo VII-D da In nº 5, de 26 de maio de 2017) - a rubrica “Contribuição Social” de 10% sobre o FGTS em caso de demissão sem justa causa, prevista no Módulo 'Provisão para Rescisão' da Planilha de Custo (Anexo VII-D da In nº 5, de 26 de maio de 2017);</t>
        </r>
      </text>
    </comment>
    <comment ref="B93" authorId="0" shapeId="0">
      <text>
        <r>
          <rPr>
            <sz val="11"/>
            <color theme="1"/>
            <rFont val="Calibri"/>
            <family val="2"/>
            <scheme val="minor"/>
          </rPr>
          <t>Férias: Art. 129 da CLT</t>
        </r>
      </text>
    </comment>
    <comment ref="B94" authorId="0" shapeId="0">
      <text>
        <r>
          <rPr>
            <sz val="11"/>
            <color theme="1"/>
            <rFont val="Calibri"/>
            <family val="2"/>
            <scheme val="minor"/>
          </rPr>
          <t>Ausência Legal: Art. 473 da CLT</t>
        </r>
      </text>
    </comment>
    <comment ref="B95" authorId="0" shapeId="0">
      <text>
        <r>
          <rPr>
            <sz val="11"/>
            <color theme="1"/>
            <rFont val="Calibri"/>
            <family val="2"/>
            <scheme val="minor"/>
          </rPr>
          <t>Afastamento Paternidade: inciso II do art. 1º da Lei nº 11.770, de 9 de setembro de 2008</t>
        </r>
      </text>
    </comment>
    <comment ref="B96" authorId="0" shapeId="0">
      <text>
        <r>
          <rPr>
            <sz val="11"/>
            <color theme="1"/>
            <rFont val="Calibri"/>
            <family val="2"/>
            <scheme val="minor"/>
          </rPr>
          <t>Acidente de Trabalho: § 2º do art. 43 da Lei 8.213, de 24 de julho de 1991</t>
        </r>
      </text>
    </comment>
    <comment ref="B97" authorId="0" shapeId="0">
      <text>
        <r>
          <rPr>
            <sz val="11"/>
            <color theme="1"/>
            <rFont val="Calibri"/>
            <family val="2"/>
            <scheme val="minor"/>
          </rPr>
          <t>Afastamento Maternidade: inciso I do art. 1º da Lei nº 11.770, de 9 de setembro de 2008</t>
        </r>
      </text>
    </comment>
    <comment ref="H102" authorId="0" shapeId="0">
      <text>
        <r>
          <rPr>
            <sz val="11"/>
            <color theme="1"/>
            <rFont val="Calibri"/>
            <family val="2"/>
            <scheme val="minor"/>
          </rPr>
          <t>Custo do dia  
Somatório total dos módulos 1, 2 e 3 
O resultado divide por 30 dias</t>
        </r>
      </text>
    </comment>
    <comment ref="B126" authorId="0" shapeId="0">
      <text>
        <r>
          <rPr>
            <sz val="11"/>
            <color theme="1"/>
            <rFont val="Calibri"/>
            <family val="2"/>
            <scheme val="minor"/>
          </rPr>
          <t>A sigla CPRB corresponde à Contribuição Previdenciária sobre a Receita Bruta - instituída pelo art. 8º da Lei 12.546/2011. Utiliza-se também o termo "Desoneração da Folha de Pagamento" para caracterizar o tributo, pois, em tese, a CPRB tende a ser menor que a contribuição previdenciária calculada sobre a folha.</t>
        </r>
      </text>
    </comment>
    <comment ref="G126" authorId="0" shapeId="0">
      <text>
        <r>
          <rPr>
            <sz val="11"/>
            <color theme="1"/>
            <rFont val="Calibri"/>
            <family val="2"/>
            <scheme val="minor"/>
          </rPr>
          <t>Subitem 6.5.1 do Acórdão nº 1212/2014-TCU – Plenário    (2022-04-01 19:11:54)
“6.5.1. A metodologia que parece melhor se adequar a tais tipos de ajustes já foi delineada no parágrafo 13 da instrução transcrita no relatório do Acórdão 2.859/2013-P, qual seja: excluir o item ‘INSS’ do grupo ‘Encargos Sociais’, com a consequente redução proporcional do item ‘incidência de A sobre B’, e incluir o item ‘INSS’ no grupo ‘Tributos’, com a devida alíquota.”
Dessa forma, para cumprimento do disposto no subitem 9.2.1 do Acórdão nº 2859/2013, sugerimos os seguintes procedimentos, corroborados pelas disposições do Acórdão nº 1212/2014-TCU – Plenário:
1º) Para os casos desses contratos que apresentam planilhas de custos, com dedicação exclusiva de mão de obra, deverá ser observado o seguinte:
a) O percentual da contribuição previdenciária que integra o submódulo 4.1 correspondente ao percentual de 20% (Contribuição Patronal-INSS) passará a incidir sobre o custo total do empregado (Módulo 1 + Módulo 2 + Módulo 3 + Módulo 4 + Custos indiretos + Lucro), aplicando-se a alíquota da respectiva atividade que foi desonerada, da mesma forma como se procedeu ao cálculo dos tributos.</t>
        </r>
      </text>
    </comment>
  </commentList>
</comments>
</file>

<file path=xl/sharedStrings.xml><?xml version="1.0" encoding="utf-8"?>
<sst xmlns="http://schemas.openxmlformats.org/spreadsheetml/2006/main" count="1368" uniqueCount="409">
  <si>
    <t>       Discriminação dos Serviços (dados referentes à contratação)</t>
  </si>
  <si>
    <t>A</t>
  </si>
  <si>
    <t xml:space="preserve">Data de apresentação da proposta (dia/mês/ano) </t>
  </si>
  <si>
    <t>B</t>
  </si>
  <si>
    <t xml:space="preserve">Município/UF </t>
  </si>
  <si>
    <t>C</t>
  </si>
  <si>
    <t>D</t>
  </si>
  <si>
    <t>E</t>
  </si>
  <si>
    <t>F</t>
  </si>
  <si>
    <t>G</t>
  </si>
  <si>
    <t>Categoria profissional (vinculada à execução contratual)</t>
  </si>
  <si>
    <t>Data base da categoria (dia/mês/ano)</t>
  </si>
  <si>
    <t>Valor (R$)</t>
  </si>
  <si>
    <t xml:space="preserve">A </t>
  </si>
  <si>
    <t>Total de Remuneração</t>
  </si>
  <si>
    <t>%</t>
  </si>
  <si>
    <t>R$</t>
  </si>
  <si>
    <t>INSS</t>
  </si>
  <si>
    <t>INCRA</t>
  </si>
  <si>
    <t>FGTS</t>
  </si>
  <si>
    <t>SEBRAE</t>
  </si>
  <si>
    <t>Lucro</t>
  </si>
  <si>
    <t>Tributos</t>
  </si>
  <si>
    <t>COFINS</t>
  </si>
  <si>
    <t>PIS</t>
  </si>
  <si>
    <t>Valor</t>
  </si>
  <si>
    <t xml:space="preserve">PLANILHA DE CUSTOS E FORMAÇÃO DE PREÇOS </t>
  </si>
  <si>
    <t>Pregão Nº</t>
  </si>
  <si>
    <t>Identificação do Serviço</t>
  </si>
  <si>
    <t>Tipo de Serviço</t>
  </si>
  <si>
    <t>Unidade Medida</t>
  </si>
  <si>
    <t>Quant. Total a Contratar em função da Unidade medida</t>
  </si>
  <si>
    <t>MÃO-DE-OBRA</t>
  </si>
  <si>
    <t>Mão-de -Obra Vinculada à Execução Contratual</t>
  </si>
  <si>
    <t>Dados complementares para composição dos custos referentes à mão-de-obra</t>
  </si>
  <si>
    <t xml:space="preserve">Tipo de serviço 
</t>
  </si>
  <si>
    <t>Classificação Brasileira de Ocupações (CBO)</t>
  </si>
  <si>
    <t xml:space="preserve">Salário normativo da categoria profissional </t>
  </si>
  <si>
    <t>Módulo 1: Composição da Remuneração</t>
  </si>
  <si>
    <t>Composição da Remuneração</t>
  </si>
  <si>
    <t xml:space="preserve">Salário Base </t>
  </si>
  <si>
    <t>Módulo 2: Encargos e Benefícios Anuais, Mensais e Diários</t>
  </si>
  <si>
    <t>Submódulo 2.1 - 13º (décimo terceiro) Salário e Adicional de Férias</t>
  </si>
  <si>
    <t>2.1</t>
  </si>
  <si>
    <t>13º (décimo terceiro) Salário e Adicional de Férias</t>
  </si>
  <si>
    <t>(%)</t>
  </si>
  <si>
    <t>13º (décimo terceiro) Salário</t>
  </si>
  <si>
    <t>Adicional de Férias</t>
  </si>
  <si>
    <t xml:space="preserve">Total de benefícios mensais e diários </t>
  </si>
  <si>
    <t>Submódulo 2.2 - Encargos Previdenciários (GPS), Fundo de Garantia por Tempo
de Serviço (FGTS) e outras contribuições.</t>
  </si>
  <si>
    <t>2.2</t>
  </si>
  <si>
    <t>GPS, FGTS e outras contribuições</t>
  </si>
  <si>
    <t>Percentual (%)</t>
  </si>
  <si>
    <t>Salário educação</t>
  </si>
  <si>
    <t>RAT</t>
  </si>
  <si>
    <t>FAP</t>
  </si>
  <si>
    <t>SESC ou SESI</t>
  </si>
  <si>
    <t>SENAI - SENAC</t>
  </si>
  <si>
    <t>H</t>
  </si>
  <si>
    <t xml:space="preserve">          TOTAL</t>
  </si>
  <si>
    <t>Submódulo 2.3 - Benefícios Mensais e Diários.</t>
  </si>
  <si>
    <t>2.3</t>
  </si>
  <si>
    <t xml:space="preserve">Benefícios Mensais e Diários </t>
  </si>
  <si>
    <t>OUTROS</t>
  </si>
  <si>
    <t>Quadro-Resumo do Módulo 2 - Encargos e Benefícios anuais, mensais e diários</t>
  </si>
  <si>
    <t>Encargos e Benefícios Anuais, Mensais e Diários</t>
  </si>
  <si>
    <t xml:space="preserve">13º (décimo terceiro) Salário e Adicional de Férias </t>
  </si>
  <si>
    <t>Benefícios Mensais e Diários</t>
  </si>
  <si>
    <t xml:space="preserve">Total </t>
  </si>
  <si>
    <t>Módulo 3: Provisão para Rescisão</t>
  </si>
  <si>
    <t xml:space="preserve">Provisão para Rescisão </t>
  </si>
  <si>
    <t>Valor R$</t>
  </si>
  <si>
    <t>Multa do FGTS sobre o API</t>
  </si>
  <si>
    <t>Multa do FGTS sobre o APT</t>
  </si>
  <si>
    <t>Recomenda-se que a adoção de metodologia de cálculo diversa seja devidamente demonstrada no processo em memória de cálculo com esclarecimentos e comprovações.</t>
  </si>
  <si>
    <t>Módulo 4 - Custo de Reposição do Profissional Ausente</t>
  </si>
  <si>
    <t>Submódulo 4.1 - Substituto nas Ausências Legais</t>
  </si>
  <si>
    <t>4.1</t>
  </si>
  <si>
    <t>Substituto nas Ausências Legais</t>
  </si>
  <si>
    <t>% Orientações do TCU e/ou dados IBGE</t>
  </si>
  <si>
    <t xml:space="preserve">Substituto na cobertura de Férias </t>
  </si>
  <si>
    <t xml:space="preserve">Substituto na cobertura de Ausencias legais </t>
  </si>
  <si>
    <t xml:space="preserve">Substituto na cobertura de Licença Paternidade </t>
  </si>
  <si>
    <t xml:space="preserve">Substituto na cobertura de Ausencia por acidente de Trabalho  </t>
  </si>
  <si>
    <t>Substituto na cobertura de Afastamento Maternidade</t>
  </si>
  <si>
    <t>Substituto na cobertura de Outras auséncias (especificar)</t>
  </si>
  <si>
    <t>TOTAL</t>
  </si>
  <si>
    <t>Incidencia do submódulo 2.2</t>
  </si>
  <si>
    <t xml:space="preserve">Custo do dia </t>
  </si>
  <si>
    <t>Quadro-Resumo do Módulo 4 - Custo de Reposição do Profissional Ausente</t>
  </si>
  <si>
    <t>Ausências Legais</t>
  </si>
  <si>
    <t>Módulo 5: Insumos Diversos</t>
  </si>
  <si>
    <t>Insumos Diversos</t>
  </si>
  <si>
    <t xml:space="preserve">Uniformes </t>
  </si>
  <si>
    <t xml:space="preserve">Outros </t>
  </si>
  <si>
    <t>Módulo 6: Custos Indiretos, Tributos e Lucro</t>
  </si>
  <si>
    <t>Custos Indiretos, Tributos e Lucro</t>
  </si>
  <si>
    <t>C.1 - Tributos Federais</t>
  </si>
  <si>
    <t>INSS (CPRB)</t>
  </si>
  <si>
    <t>C.2 - Tributos Municipais</t>
  </si>
  <si>
    <t>ISS</t>
  </si>
  <si>
    <t xml:space="preserve">C.3 - Tributos  Estaduais </t>
  </si>
  <si>
    <t>(especificar)</t>
  </si>
  <si>
    <t>TOTAL DE TRIBUTOS</t>
  </si>
  <si>
    <t>QUADRO RESUMO DO CUSTO POR EMPREGADO</t>
  </si>
  <si>
    <t>Mão-de-obra vinculada à execução Contratual (valor por empregado)</t>
  </si>
  <si>
    <t xml:space="preserve">Módulo 1 - Composição da Remuneração </t>
  </si>
  <si>
    <t>Módulo 2 - Encargos e Benefícios Anuais, Mensais e Diários</t>
  </si>
  <si>
    <t>Módulo 3 - Provisão para Rescisão</t>
  </si>
  <si>
    <t xml:space="preserve">E </t>
  </si>
  <si>
    <t>Módulo 5 - Insumos Diversos</t>
  </si>
  <si>
    <t>Subtotal (A+B+C+D+E)</t>
  </si>
  <si>
    <t>Módulo 6 – Custos Indiretos, Tributos e Lucro</t>
  </si>
  <si>
    <t>Valor Total por Empregado</t>
  </si>
  <si>
    <t>Fator K</t>
  </si>
  <si>
    <t>CÁLCULO VALE TRANSPORTE E VALE ALIMENTAÇÃO</t>
  </si>
  <si>
    <t>QTDE/DIA</t>
  </si>
  <si>
    <t>VALOR</t>
  </si>
  <si>
    <t>QTDE/MÊS</t>
  </si>
  <si>
    <t>Salário Base</t>
  </si>
  <si>
    <t>BENEFÍCIO VALE TRANSPORTE</t>
  </si>
  <si>
    <t xml:space="preserve">TOTAL </t>
  </si>
  <si>
    <t>BENEFÍCIO VALE ALIMENTAÇÃO</t>
  </si>
  <si>
    <t>Nota:</t>
  </si>
  <si>
    <t>1) O licitante deverá preencher os campos na cor AMARELA.</t>
  </si>
  <si>
    <t>2) O licitante não poderá desbloquear as células das planilhas de custo e formação de preços, para não comprometer a segurança do certame e a agilidade na análise dos custos da proposta</t>
  </si>
  <si>
    <t>Item</t>
  </si>
  <si>
    <t>Valor mensal</t>
  </si>
  <si>
    <t>Calça comprida, com elástico e cordão, de brim</t>
  </si>
  <si>
    <t>Camiseta malha fria PV, gola careca, com emblema da empresa.</t>
  </si>
  <si>
    <t>Meia de algodão, tipo soquete.</t>
  </si>
  <si>
    <t>par</t>
  </si>
  <si>
    <t>unid.</t>
  </si>
  <si>
    <t>UNIDADE DE MEDIDA</t>
  </si>
  <si>
    <t>DESCRIÇÃO/ESPECIFICAÇÃO</t>
  </si>
  <si>
    <t>ITEM</t>
  </si>
  <si>
    <t>QTDE MENSAL ESTIMADA</t>
  </si>
  <si>
    <t>VALOR UNITÁRIO MÉDIO</t>
  </si>
  <si>
    <t>COEFICIENTE DE VARIAÇÃO</t>
  </si>
  <si>
    <t>VALOR TOTAL MENSAL</t>
  </si>
  <si>
    <t>UN</t>
  </si>
  <si>
    <t>Detergente líquido, neutro, hipoalergênico, embalagem com 500 ml.</t>
  </si>
  <si>
    <t>Frasco c/ 500 ml</t>
  </si>
  <si>
    <t>MÓDULO 5 - A - UNIFORMES</t>
  </si>
  <si>
    <t>VALOR MENSAL UNIFORMES</t>
  </si>
  <si>
    <t>Desodorizador de ar, cada unidade contendo 360 a 440 ml</t>
  </si>
  <si>
    <t>Detergente enzimático íquido para limpeza de superfícies, a base de protease, amilase e lipase, embalagem com 5 litros</t>
  </si>
  <si>
    <t>Escova plática, para lavar roupa, com cerdas de polipropileno resistentes e duráveis</t>
  </si>
  <si>
    <t>Limpa vidros concentrado, 500ml</t>
  </si>
  <si>
    <t>Limpador desengraxante, embalagem de 5 litros</t>
  </si>
  <si>
    <t>Lustra móveis lavanda 200 ml</t>
  </si>
  <si>
    <t>Luvas de látex natural de 1° qualidade, tamanhos P, M e G</t>
  </si>
  <si>
    <t>Rodo com 2 borrachas - 40cm de largura, com cabo de madeira</t>
  </si>
  <si>
    <t>Sabão em barra de 1° qualidade pacote com 1 kg</t>
  </si>
  <si>
    <t>Saponáceo em pó de  1° qualidade , cada unidade contendo 300g</t>
  </si>
  <si>
    <t>Vassoura de piaçava com 40 cm de largura, com cabo de madeira</t>
  </si>
  <si>
    <t>Vassoura Nylon</t>
  </si>
  <si>
    <t>galão 5L</t>
  </si>
  <si>
    <t>unid</t>
  </si>
  <si>
    <t>Pano limpeza de chão em algodão cru alvejado</t>
  </si>
  <si>
    <t xml:space="preserve">Sabonete líquido de 1° qualidade, com fragrância de coco ou erva-doce. Aplicação e hidratação da pele. Embalagem contendo 5 litros. A embalagem deverá conter validade e número de Registro no Ministério da Saúde.  </t>
  </si>
  <si>
    <t>Água sanitária, embalagem com 5L</t>
  </si>
  <si>
    <t>Garrafa c/ 5 litros</t>
  </si>
  <si>
    <t>Álcool Etílico Líquido 70%, incolor, pronto para uso de desinfecção de superfícies fixas, acondicionado em frasco de 1 litro, com tampa rosqueável, lacre inviolável e que permita a visualização interna do líquido. Apresentação em embalagem original que deverá conter os dados de identificação, lote, validade e número de registro na Anvisa.</t>
  </si>
  <si>
    <t>Álcool Etílico em gel 70%, incolor, acondicionado em galão de 5 l. Apresentação em embalagem original que deverá conter os dados de identificação, lote, validade, número de registro na Anvisa.</t>
  </si>
  <si>
    <t>Esponja dupla face, multiuso, unidade</t>
  </si>
  <si>
    <t>Flanela, para limpeza em geral medida aproximada de 30cm (largura) x 40cm (comprimento)</t>
  </si>
  <si>
    <t>pacote/caixa c/ 5 kg</t>
  </si>
  <si>
    <t>Sabão em pó, embalagem com, no mínimo, 5kg</t>
  </si>
  <si>
    <t>Balde plástico, com alça em metal galvanizado e capacidade mínima para 10 litros</t>
  </si>
  <si>
    <t>galão</t>
  </si>
  <si>
    <t>Desinfetante para banheiros e sanitários, galão com, no mínimo, 3,8L</t>
  </si>
  <si>
    <t>Pá coletora de lixo de alumínio e cabo de madeira ou metal</t>
  </si>
  <si>
    <t>Limpador líquido multiuso de 1ª qualidade, 500ml</t>
  </si>
  <si>
    <t>Escova sanitária</t>
  </si>
  <si>
    <t>Papel higiênico, branco alcalino, macio, neutro, picotado e gofrado, 100% fibra celulósica, folha dupla, rolo com 30mx10cm, embalagem deverá apresentar a composição, data de fabricação e de validade</t>
  </si>
  <si>
    <t>Rolo c/ 30m</t>
  </si>
  <si>
    <t>Pacote c/ 1.000 unidades</t>
  </si>
  <si>
    <t>QUANTIDADE DE POSTOS</t>
  </si>
  <si>
    <t>SERVENTE DE LIMPEZA</t>
  </si>
  <si>
    <t>VALOR MENSAL POR POSTO</t>
  </si>
  <si>
    <t>Placa Sinalizadora de Piso molhado/escorregadio</t>
  </si>
  <si>
    <t>Enceradeira industrial tipo "Bandeirante" para lavagem de pisos</t>
  </si>
  <si>
    <t>Lavadora de alta pressão (tipo Wap ou similar)</t>
  </si>
  <si>
    <t>Aspirador de pó e água industrial, potência mínima de 1100 W (Karcher ou similar)</t>
  </si>
  <si>
    <t>Combinado Limpa Vidros 45 cm 2 em 1 (Bralimpia ou similar) com cabo extensor</t>
  </si>
  <si>
    <t>VALOR TOTAL MENSAL DA DEPRECIAÇÃO</t>
  </si>
  <si>
    <t>VALOR TOTAL UNIFORMES</t>
  </si>
  <si>
    <t>_______________________________________________</t>
  </si>
  <si>
    <t>Jaqueline Cristina de Souza Muchagata</t>
  </si>
  <si>
    <t>Coordenadora de Gestão de Pessoas – Requisitante</t>
  </si>
  <si>
    <t>VALOR DA DEPRECIAÇÃO</t>
  </si>
  <si>
    <t>VIDA ÚTIL (MESES)</t>
  </si>
  <si>
    <t>Tipo de Área</t>
  </si>
  <si>
    <t>Qtde. de Postos</t>
  </si>
  <si>
    <t>Áreas Internas:</t>
  </si>
  <si>
    <t>Pisos frios</t>
  </si>
  <si>
    <t>Banheiros</t>
  </si>
  <si>
    <t>Fachadas envidraçadas - lavagem externa com exposição a risco</t>
  </si>
  <si>
    <t>Varrição de passeios e arruamentos</t>
  </si>
  <si>
    <t>Esquadrias Internas (janelas)  (m²)</t>
  </si>
  <si>
    <t xml:space="preserve">Áreas externas: </t>
  </si>
  <si>
    <t>PRODUTIVIDADE SERVENTES DE LIMPEZA</t>
  </si>
  <si>
    <t>Limpeza, asseio e conservação</t>
  </si>
  <si>
    <t xml:space="preserve">Área </t>
  </si>
  <si>
    <t>M²</t>
  </si>
  <si>
    <t>Área Interna</t>
  </si>
  <si>
    <t>Área Externa</t>
  </si>
  <si>
    <t>Esquadrias Externas</t>
  </si>
  <si>
    <t>Fachada Envidraçada</t>
  </si>
  <si>
    <r>
      <t>CÁLCULO</t>
    </r>
    <r>
      <rPr>
        <b/>
        <sz val="11"/>
        <color theme="1"/>
        <rFont val="Arial"/>
        <family val="2"/>
      </rPr>
      <t xml:space="preserve"> VALE TRANSPORTE </t>
    </r>
  </si>
  <si>
    <r>
      <t xml:space="preserve">CÁLCULO </t>
    </r>
    <r>
      <rPr>
        <b/>
        <sz val="11"/>
        <color theme="1"/>
        <rFont val="Arial"/>
        <family val="2"/>
      </rPr>
      <t>VALE ALIMENTAÇÃO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(CONFORME CCT)</t>
    </r>
    <r>
      <rPr>
        <sz val="11"/>
        <color rgb="FF000000"/>
        <rFont val="Arial"/>
        <family val="2"/>
      </rPr>
      <t xml:space="preserve"> </t>
    </r>
  </si>
  <si>
    <r>
      <t>N</t>
    </r>
    <r>
      <rPr>
        <b/>
        <strike/>
        <sz val="11"/>
        <color rgb="FF000000"/>
        <rFont val="Arial"/>
        <family val="2"/>
      </rPr>
      <t>º</t>
    </r>
    <r>
      <rPr>
        <b/>
        <sz val="11"/>
        <color rgb="FF000000"/>
        <rFont val="Arial"/>
        <family val="2"/>
      </rPr>
      <t xml:space="preserve"> Processo</t>
    </r>
  </si>
  <si>
    <r>
      <t>N</t>
    </r>
    <r>
      <rPr>
        <strike/>
        <sz val="11"/>
        <color rgb="FF000000"/>
        <rFont val="Arial"/>
        <family val="2"/>
      </rPr>
      <t>º</t>
    </r>
    <r>
      <rPr>
        <sz val="11"/>
        <color rgb="FF000000"/>
        <rFont val="Arial"/>
        <family val="2"/>
      </rPr>
      <t xml:space="preserve"> de meses de execução contratual</t>
    </r>
  </si>
  <si>
    <r>
      <t xml:space="preserve">Aviso Prévio Indenizado - API </t>
    </r>
    <r>
      <rPr>
        <i/>
        <sz val="11"/>
        <color theme="1"/>
        <rFont val="Arial"/>
        <family val="2"/>
      </rPr>
      <t>(Custo parcialmente renovável)</t>
    </r>
  </si>
  <si>
    <r>
      <t xml:space="preserve">Incidência do FGTS sobre o API </t>
    </r>
    <r>
      <rPr>
        <i/>
        <sz val="11"/>
        <color theme="1"/>
        <rFont val="Arial"/>
        <family val="2"/>
      </rPr>
      <t>(Custo não renovável)</t>
    </r>
  </si>
  <si>
    <r>
      <t xml:space="preserve">Aviso Prévio Trabalhado - APT </t>
    </r>
    <r>
      <rPr>
        <i/>
        <sz val="11"/>
        <color theme="1"/>
        <rFont val="Arial"/>
        <family val="2"/>
      </rPr>
      <t>(Custo parcialmente renovável)</t>
    </r>
  </si>
  <si>
    <r>
      <t xml:space="preserve">Incidência de GPS, FGTS e outras contribuições sobre o APT </t>
    </r>
    <r>
      <rPr>
        <i/>
        <sz val="11"/>
        <color theme="1"/>
        <rFont val="Arial"/>
        <family val="2"/>
      </rPr>
      <t>(Custo não renovável)</t>
    </r>
  </si>
  <si>
    <r>
      <t>Nota Técnica nº 652/2017-MP</t>
    </r>
    <r>
      <rPr>
        <i/>
        <sz val="11"/>
        <color theme="1"/>
        <rFont val="Arial"/>
        <family val="2"/>
      </rPr>
      <t>(33.2) Que os eventos "passíveis" de eliminação total ou parcial (custos não renováveis), no que tange ao módulo da rescisão, quando da prorrogação contratual, são:A, B, D e E. (33.3) Que o evento “multa do FGTS” - seja para aviso prévio trabalhado ou indenizado -  são considerados custos renováveis.</t>
    </r>
  </si>
  <si>
    <t>Materiais (custo não renovável ou parcialmente não renovável)</t>
  </si>
  <si>
    <t>Equipamentos E Utensílios (custo não renovável ou parcialmente não renovável)</t>
  </si>
  <si>
    <r>
      <t>Nota Técnica nº 652/2017-MP</t>
    </r>
    <r>
      <rPr>
        <i/>
        <sz val="11"/>
        <color theme="1"/>
        <rFont val="Arial"/>
        <family val="2"/>
      </rPr>
      <t>(12) Alguns custos que já foram pagos ou amortizados no primeiro ano da contratação, caso verifique-se que não há a necessidade de sua substituição serão retirados da planilha de custos como condição para a renovação contratual.</t>
    </r>
  </si>
  <si>
    <r>
      <t xml:space="preserve">Custos Indiretos </t>
    </r>
    <r>
      <rPr>
        <sz val="11"/>
        <color theme="1"/>
        <rFont val="Arial"/>
        <family val="2"/>
      </rPr>
      <t>(despesas operacionais/administrativas)</t>
    </r>
  </si>
  <si>
    <t>Quantidade de Postos (44 horas semanais)</t>
  </si>
  <si>
    <t>TIPO DE ÁREA</t>
  </si>
  <si>
    <t>____1____</t>
  </si>
  <si>
    <t>Preço Homem-mês (R$)</t>
  </si>
  <si>
    <t>Total (R$/M²)</t>
  </si>
  <si>
    <t>Jornada de trabalho no mês (horas)</t>
  </si>
  <si>
    <t>Ki</t>
  </si>
  <si>
    <t>Ke</t>
  </si>
  <si>
    <t>Pisos pavimentados adjacentes/contíguos às edificações</t>
  </si>
  <si>
    <t>Pátios e áreas verdes com média frequência</t>
  </si>
  <si>
    <t>* Caso as produtividades mínimas adotadas sejam diferentes, estes valores das planilhas deverão ser adequados à nova situação, bem como os coeficientes deles decorrentes (Ki e Ke).</t>
  </si>
  <si>
    <t>Ano Acordo, Convenção ou Sentença Normativa em Dissídio Coletivo (Nº do registro no MTE)</t>
  </si>
  <si>
    <t>Limpeza em prédios</t>
  </si>
  <si>
    <t>5143-20</t>
  </si>
  <si>
    <t>CNAE PREPONDERANTE: 8121-4/00</t>
  </si>
  <si>
    <t>MÓDULO 5 - B - EQUIPAMENTOS E UTENSÍLIOS</t>
  </si>
  <si>
    <t>MATERIAIS - CONSUMO MENSAL (ENTREGA MEDIANTE SOLICITAÇÃO EXPRESSA DA FISCALIZAÇÃO SOB DEMANDA)</t>
  </si>
  <si>
    <t xml:space="preserve">Total de materiais sem LDI E TRIBUTOS </t>
  </si>
  <si>
    <t>LDI</t>
  </si>
  <si>
    <t xml:space="preserve">Lucro </t>
  </si>
  <si>
    <t>Custos Indiretos</t>
  </si>
  <si>
    <t>Subtotal (LDI)</t>
  </si>
  <si>
    <t>TRIBUTAÇÃO</t>
  </si>
  <si>
    <t>Subtotal (PIS+COFINS+ISS)</t>
  </si>
  <si>
    <t>TOTAL DE MATERIAL MENSAL COM LDI E TRIBUTOS</t>
  </si>
  <si>
    <r>
      <t>Produtividade Pretendida (m</t>
    </r>
    <r>
      <rPr>
        <b/>
        <vertAlign val="super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>)</t>
    </r>
  </si>
  <si>
    <r>
      <t>Área a ser lima  (m</t>
    </r>
    <r>
      <rPr>
        <b/>
        <sz val="11"/>
        <color rgb="FF000000"/>
        <rFont val="Calibri"/>
        <family val="2"/>
      </rPr>
      <t>²</t>
    </r>
    <r>
      <rPr>
        <b/>
        <sz val="11"/>
        <color rgb="FF000000"/>
        <rFont val="Arial"/>
        <family val="2"/>
      </rPr>
      <t>)</t>
    </r>
  </si>
  <si>
    <t>Valores totais das áreas internas</t>
  </si>
  <si>
    <t>Valor Unitário (R$/m²)</t>
  </si>
  <si>
    <t>Valor m² por área</t>
  </si>
  <si>
    <t>Valores totais das áreas externas</t>
  </si>
  <si>
    <t>Produtividade Pretendida (m2)</t>
  </si>
  <si>
    <t>Esquadrias Externas (2x ao mês):</t>
  </si>
  <si>
    <t>Frequência no mês (horas)</t>
  </si>
  <si>
    <t>Valores totais das esquadrias externas</t>
  </si>
  <si>
    <t>Fachadas envidraçadas (1x ao semestre)</t>
  </si>
  <si>
    <t>** Freqüência sugerida em horas por mês. Caso a freqüência adotada, em horas, por mês ou semestre, seja diferente, estes valores deverão ser adequados à nova situação, bem como os coeficientes delas decorrentes (Ki e Ke).</t>
  </si>
  <si>
    <t>Área (m²)</t>
  </si>
  <si>
    <t>PREÇO MENSAL UNITÁRIO</t>
  </si>
  <si>
    <t>SUBTOTAL</t>
  </si>
  <si>
    <t>Total M²</t>
  </si>
  <si>
    <t>QUADRO RESUMO GRUPO 1</t>
  </si>
  <si>
    <t>III – Esquadrias Externas</t>
  </si>
  <si>
    <t>II – Áreas Externas</t>
  </si>
  <si>
    <t>I – Áreas Internas</t>
  </si>
  <si>
    <t>VI - Fachadas Envidraçadas</t>
  </si>
  <si>
    <t>Valor Mensal do Serviço</t>
  </si>
  <si>
    <t>Valor Mensal Estimado dos Materiais</t>
  </si>
  <si>
    <t>Valor mensal total (serviço + material)</t>
  </si>
  <si>
    <t>Curitiba, 13/04/2022.</t>
  </si>
  <si>
    <t>Total de Postos</t>
  </si>
  <si>
    <t>Catser</t>
  </si>
  <si>
    <t>Unidade de Medida</t>
  </si>
  <si>
    <t>Descrição/
Especificação</t>
  </si>
  <si>
    <t>Qtde.</t>
  </si>
  <si>
    <t>VALOR GLOBAL DO GRUPO 01</t>
  </si>
  <si>
    <t>MÓDULO 5 - INSUMOS DIVERSOS - TIPO DE SERVIÇO: SERVENTE DE LIMPEZA SEDE</t>
  </si>
  <si>
    <t>Pisos Acarpetados</t>
  </si>
  <si>
    <r>
      <t>Área a ser limpa  (m</t>
    </r>
    <r>
      <rPr>
        <b/>
        <sz val="11"/>
        <color rgb="FF000000"/>
        <rFont val="Calibri"/>
        <family val="2"/>
      </rPr>
      <t>²</t>
    </r>
    <r>
      <rPr>
        <b/>
        <sz val="11"/>
        <color rgb="FF000000"/>
        <rFont val="Arial"/>
        <family val="2"/>
      </rPr>
      <t>)</t>
    </r>
  </si>
  <si>
    <t>Coleta de detritos em pátios e áreas verdes com frequência diária</t>
  </si>
  <si>
    <t>Áreas com espaços livres - saguão, hall e salão</t>
  </si>
  <si>
    <t>GOIÂNIA/GO</t>
  </si>
  <si>
    <t>GOIÂNIA - GO</t>
  </si>
  <si>
    <t xml:space="preserve">Esquadrias externas sem risco (no terreo, 2º e 4º pavimento) </t>
  </si>
  <si>
    <t>Esquadrias externas com exposição a situação de risco</t>
  </si>
  <si>
    <t>ITEM 01 - LIMPEZA SEDE REGIONAL - Endereço: 5ª Avenida com 11ª Avenida, Setor Leste Universitário, Goiânia - GO</t>
  </si>
  <si>
    <t>PG.2024.00.835</t>
  </si>
  <si>
    <t xml:space="preserve">Observação: Os dados destacados em amarelo deverão ser preenchidos conforme Acordo, Conveção ou Sentença normativa apresentada. </t>
  </si>
  <si>
    <t>Onde não serão aceitos valores "em branco" ou "zerados" para dados obrigatórios conforme IN 05/2017 e CLT.</t>
  </si>
  <si>
    <t xml:space="preserve">Observação: Para item "C" o valor atribuído para RATXFAP é sugerido, no entanto, deverá ser informado conforme índice da empresa proponente. </t>
  </si>
  <si>
    <t>QTDE TOTAL (12 MESES)</t>
  </si>
  <si>
    <t>Luciana Freire d´Eça Nogueira Santos</t>
  </si>
  <si>
    <t>Assessora de Planejamento</t>
  </si>
  <si>
    <t>VALOR TOTAL NO CONTRATO (12 MESES)</t>
  </si>
  <si>
    <t xml:space="preserve">Almoxarifado/galpão (719m2 estacion e </t>
  </si>
  <si>
    <t>VALOR TOTAL (12 MESES)</t>
  </si>
  <si>
    <t>Valor total (12 meses)</t>
  </si>
  <si>
    <t>GO000026/2025</t>
  </si>
  <si>
    <r>
      <t xml:space="preserve">Seg. acid. de trabalho/SAT </t>
    </r>
    <r>
      <rPr>
        <sz val="11"/>
        <color rgb="FFFF0000"/>
        <rFont val="Arial"/>
        <family val="2"/>
      </rPr>
      <t>(Cálculo=RATxFAP - 1%, 2% ou 3%)</t>
    </r>
  </si>
  <si>
    <t>Adicional de risco de vida/periculosidade</t>
  </si>
  <si>
    <t>Outros (especificar)</t>
  </si>
  <si>
    <t>IN 65/2021, ART. 5º Inciso II CONTRATAÇÕES SIMILARES ADM PUBLICA</t>
  </si>
  <si>
    <t>CATMAT  CATSER</t>
  </si>
  <si>
    <t>CATMAT CATSER</t>
  </si>
  <si>
    <t>Fonte BANCO DE PREÇOS</t>
  </si>
  <si>
    <t xml:space="preserve"> PAINEL DE PREÇOS</t>
  </si>
  <si>
    <t xml:space="preserve">IN 65/2021, ART. 5º, Inc I                      </t>
  </si>
  <si>
    <t>Fonte: BANCO DE PREÇOS</t>
  </si>
  <si>
    <t xml:space="preserve">IN 65/2021, ART. 5º, Inciso I              </t>
  </si>
  <si>
    <r>
      <t xml:space="preserve">Adicional de insalubridade </t>
    </r>
    <r>
      <rPr>
        <sz val="11"/>
        <color rgb="FFFF0000"/>
        <rFont val="Arial"/>
        <family val="2"/>
      </rPr>
      <t>(Cláusula 10ª CCT - 40%)</t>
    </r>
  </si>
  <si>
    <r>
      <t xml:space="preserve">Auxílio-Refeição/Alimentação </t>
    </r>
    <r>
      <rPr>
        <sz val="11"/>
        <color rgb="FFFF0000"/>
        <rFont val="Arial"/>
        <family val="2"/>
      </rPr>
      <t>(Cláusula 13ª CCT - 22 dias)</t>
    </r>
  </si>
  <si>
    <r>
      <t xml:space="preserve">Transporte </t>
    </r>
    <r>
      <rPr>
        <sz val="11"/>
        <color rgb="FFFF0000"/>
        <rFont val="Arial"/>
        <family val="2"/>
      </rPr>
      <t>(Cláusula 14ª CCT - 22 dias)</t>
    </r>
  </si>
  <si>
    <r>
      <t xml:space="preserve">Benefício Assistência Médica </t>
    </r>
    <r>
      <rPr>
        <sz val="12"/>
        <color rgb="FFFF0000"/>
        <rFont val="Arial"/>
        <family val="2"/>
      </rPr>
      <t>(Cláusula 16ª CCT - até 9% remuneração)</t>
    </r>
  </si>
  <si>
    <r>
      <t>Benefício Seguro de Vida</t>
    </r>
    <r>
      <rPr>
        <sz val="12"/>
        <color rgb="FFFF0000"/>
        <rFont val="Ecofont_spranq_eco_sans"/>
      </rPr>
      <t xml:space="preserve"> (Cláusula 17ª CCT - até R$ 4,00 desconto)</t>
    </r>
  </si>
  <si>
    <t>Valor indicado (cfe. CCT cláusula 13ª)</t>
  </si>
  <si>
    <t>VALOR TOTAL POR POSTO</t>
  </si>
  <si>
    <t>QUADRO RESUMO DA PROPOSTA GRUPO 01</t>
  </si>
  <si>
    <t>Serviços de Limpeza e Conservação para a Sede Regional do Coren-GO em Goiânia – GO, AUXILIAR DE LIMPEZA/SERVIÇOS GERAIS, com fornecimento de materiais sob demanda (conforme planilha).</t>
  </si>
  <si>
    <t>Serviços de Limpeza e Conservação para a Sede Regional do Coren-GO em Goiânia – GO, ENCARREGADO/CHEFE DE TURMA DE AUXILIARES DE LIMPEZA/SERVIÇOS GERAIS, com fornecimento de materiais sob demanda (conforme planilha).</t>
  </si>
  <si>
    <t>Quantidade de Postos Encarregado (44 horas semanais)</t>
  </si>
  <si>
    <t>TOTAL DE MATERIAL PARA 12 (DOZE) MESES DE CONTRATO</t>
  </si>
  <si>
    <r>
      <t xml:space="preserve">IAFA </t>
    </r>
    <r>
      <rPr>
        <sz val="12"/>
        <color rgb="FFFF0000"/>
        <rFont val="Ecofont_spranq_eco_sans"/>
      </rPr>
      <t>(Cláusula 18ª CCT)</t>
    </r>
  </si>
  <si>
    <r>
      <t>Cota de Aprendizes</t>
    </r>
    <r>
      <rPr>
        <sz val="12"/>
        <color rgb="FFFF0000"/>
        <rFont val="Ecofont_spranq_eco_sans"/>
      </rPr>
      <t xml:space="preserve"> (Cláusula 26ª CCT)</t>
    </r>
  </si>
  <si>
    <t xml:space="preserve">Máscara multiuso </t>
  </si>
  <si>
    <t>MÓDULO 5 - INSUMOS DIVERSOS - TIPO DE SERVIÇO: VIGILÂNCIA</t>
  </si>
  <si>
    <t>Gravata tradicional na cor preta</t>
  </si>
  <si>
    <t>QUANTIDADE DE POSTOS (COM 2 EMPREGADOS)</t>
  </si>
  <si>
    <t>3) não há uso de outros materiais e equipamentos.</t>
  </si>
  <si>
    <t>GO000936/2024</t>
  </si>
  <si>
    <t>VIGILANTE DESARMADO</t>
  </si>
  <si>
    <t>Posto</t>
  </si>
  <si>
    <t>VIGILANTE</t>
  </si>
  <si>
    <t>Atividades de Vigilância e Segurança</t>
  </si>
  <si>
    <t>5173-30</t>
  </si>
  <si>
    <t xml:space="preserve">Adicional de insalubridade </t>
  </si>
  <si>
    <t>Valor indicado (cfe. CCT cláusula 9ª)</t>
  </si>
  <si>
    <r>
      <t xml:space="preserve">Transporte </t>
    </r>
    <r>
      <rPr>
        <sz val="11"/>
        <color rgb="FFFF0000"/>
        <rFont val="Arial"/>
        <family val="2"/>
      </rPr>
      <t>(Cláusula 10ª CCT - 22 dias)</t>
    </r>
  </si>
  <si>
    <r>
      <t xml:space="preserve">Auxílio-Refeição/Alimentação </t>
    </r>
    <r>
      <rPr>
        <sz val="11"/>
        <color rgb="FFFF0000"/>
        <rFont val="Arial"/>
        <family val="2"/>
      </rPr>
      <t>(Cláusula 9ª CCT - 22 dias)</t>
    </r>
  </si>
  <si>
    <r>
      <t xml:space="preserve">Benefício Assistência Médica </t>
    </r>
    <r>
      <rPr>
        <sz val="12"/>
        <color rgb="FFFF0000"/>
        <rFont val="Arial"/>
        <family val="2"/>
      </rPr>
      <t>(Cláusula 11ª CCT - até 6% remuneração)</t>
    </r>
  </si>
  <si>
    <r>
      <t>Benefício Seguro de Vida</t>
    </r>
    <r>
      <rPr>
        <sz val="12"/>
        <color rgb="FFFF0000"/>
        <rFont val="Ecofont_spranq_eco_sans"/>
      </rPr>
      <t xml:space="preserve"> (Cláusula 12ª CCT - até R$ 1,00 desconto)</t>
    </r>
  </si>
  <si>
    <r>
      <t xml:space="preserve">IAFA </t>
    </r>
    <r>
      <rPr>
        <sz val="12"/>
        <color rgb="FFFF0000"/>
        <rFont val="Ecofont_spranq_eco_sans"/>
      </rPr>
      <t>(Cláusula 14ª CCT)</t>
    </r>
  </si>
  <si>
    <r>
      <t>Cota de Aprendizes</t>
    </r>
    <r>
      <rPr>
        <sz val="12"/>
        <color rgb="FFFF0000"/>
        <rFont val="Ecofont_spranq_eco_sans"/>
      </rPr>
      <t xml:space="preserve"> (Cláusula 24ª CCT)</t>
    </r>
  </si>
  <si>
    <t>**Lei 14967/2024 e Portaria DFP nº 18045/2023</t>
  </si>
  <si>
    <t>QUADRO RESUMO GRUPO 2</t>
  </si>
  <si>
    <t>Posto de Encarregado</t>
  </si>
  <si>
    <t>Crachá de identificação com cordão</t>
  </si>
  <si>
    <t>CATMAT</t>
  </si>
  <si>
    <t>VALOR TOTAL UNIFORMES (12 MESES)</t>
  </si>
  <si>
    <r>
      <t>Adicional de risco de vida/periculosidade</t>
    </r>
    <r>
      <rPr>
        <sz val="11"/>
        <color rgb="FFFF0000"/>
        <rFont val="Arial"/>
        <family val="2"/>
      </rPr>
      <t xml:space="preserve"> (Cláusula 8ª CCT - 30%)</t>
    </r>
  </si>
  <si>
    <t>CNAE PREPONDERANTE: 8011-1/01</t>
  </si>
  <si>
    <r>
      <t xml:space="preserve">Adicional noturno </t>
    </r>
    <r>
      <rPr>
        <sz val="11"/>
        <color rgb="FFFF0000"/>
        <rFont val="Arial"/>
        <family val="2"/>
      </rPr>
      <t>(Cláusula 47ª - 20%)</t>
    </r>
  </si>
  <si>
    <t>Bota em PVC, cano curto e antiderrapante</t>
  </si>
  <si>
    <t>Sapatos em couro, bota ou coturno, macio, solado emborrachado tipo amazonas, cor preta.</t>
  </si>
  <si>
    <t>Arma calibre 38</t>
  </si>
  <si>
    <t>Colete balístico Nível II - A</t>
  </si>
  <si>
    <t>Coldre</t>
  </si>
  <si>
    <t>Lanterna tática de LED Recarregável</t>
  </si>
  <si>
    <t>Capa para Colete Balístico</t>
  </si>
  <si>
    <t>Apito com cordão</t>
  </si>
  <si>
    <t>Livro de Ocorrência</t>
  </si>
  <si>
    <t>Rádio de Comunicação</t>
  </si>
  <si>
    <t>Par</t>
  </si>
  <si>
    <t>Unidade</t>
  </si>
  <si>
    <t>Munição calibre 38</t>
  </si>
  <si>
    <t>Camisa 65% poliéster e 35% algodão, tipo social, modelo manga curta/longa, na cor branca</t>
  </si>
  <si>
    <t>Cinto em couro, fivela de metal, uma face na cor preta, sem costura, garra regulável.</t>
  </si>
  <si>
    <t>Meias tipo social, cor preta</t>
  </si>
  <si>
    <t>MÓDULO 5 - A - EQUIPAMENTOS e UTENSÍLIOS</t>
  </si>
  <si>
    <t>VALOR TOTAL EQUIPAMENTOS e UTENSÍLIOS (12 MESES)</t>
  </si>
  <si>
    <t>VALOR MENSAL EQUIPAMENTOS e UTENSÍLIOS</t>
  </si>
  <si>
    <t>MÓDULO 5 - A - MATERIAIS</t>
  </si>
  <si>
    <t>VALOR TOTAL MATERIAIS (12 MESES)</t>
  </si>
  <si>
    <t>VALOR MENSAL MATERIAIS</t>
  </si>
  <si>
    <t>Sapato de segurança ocupacional, antiderrapante</t>
  </si>
  <si>
    <t>Sapatos em couro, bota ou coturno, macio, solado emborrachado, cor preta.</t>
  </si>
  <si>
    <t>01 (um) posto de vigilância - Serviços de Vigilância e Segurança Desarmada - 12 (doze) horas diurnas, envolvendo 2 (dois) vigilantes em turnos de 12 (doze) x 36 (trinta e seis) horas, de segunda-feira a domingo, com intervalo de descanso/almoço intrajornada, para Sede Regional do Coren-GO em Goiânia - GO.</t>
  </si>
  <si>
    <t>01 (um) posto de vigilância - Serviços de Vigilância e Segurança Armada - 12 (doze) horas noturnas, envolvendo 2 (dois) vigilantes em turnos de 12 (doze) x 36 (trinta e seis) horas, de segunda-feira a domingo, com intervalo de descanso/almoço intrajornada, para Sede Regional do Coren-GO em Goiânia - GO.</t>
  </si>
  <si>
    <t>VALOR GLOBAL DO GRUPO 02</t>
  </si>
  <si>
    <t>Pedra/Desodorizador Sanitária de 25 a 35g.</t>
  </si>
  <si>
    <t>Rodo com 2 borrachas - 60cm de largura, com cabo de madeira</t>
  </si>
  <si>
    <t>Vassoura de vasculhar teto com cabo de madeira, medindo aproximadamente 3m</t>
  </si>
  <si>
    <t>UM</t>
  </si>
  <si>
    <t>PE 90003/2025</t>
  </si>
  <si>
    <t>Terno social, composto por calça e paletó social, em tecido Panamá ou Oxford, na cor preta. (Calça)</t>
  </si>
  <si>
    <t>Terno social, composto por calça e paletó social, em tecido Panamá ou Oxford, na cor preta. (Paletó)</t>
  </si>
  <si>
    <t>Saco para lixo de 30 litros, cada fardo/pcte com 100 unidades, cor preta, Padrão ABNT Reforçado</t>
  </si>
  <si>
    <t>Saco para lixo de 50 litros, cada fardo/pcte com 100 unidades, cor preta, Padrão ABNT Reforçado</t>
  </si>
  <si>
    <t>fardo/pcte 100 unid</t>
  </si>
  <si>
    <t>Saco para lixo de 100 litros cada fardo/pcte com 100 unidades, cor preta, Padrão ABNT NBR 9190 e 9191 (12 micra - Reforçado)</t>
  </si>
  <si>
    <t>Toalha de papel, interfolhado, medidas aproximadas de 21x23cm, folha 2 dobras, gofrada, cor branca (100% branco), alcalino, super-resistente, rápida absorção de líquido, de primeira qualidade com gramatura mínima de 28G/M2. Pacote com 1.000 folhas.</t>
  </si>
  <si>
    <t>APÊNDICE C - A</t>
  </si>
  <si>
    <t>APÊNDICE C - B</t>
  </si>
  <si>
    <t>APÊNDICE C - C</t>
  </si>
  <si>
    <t>APÊNDICE C - D</t>
  </si>
  <si>
    <t>APÊNDICE C - E</t>
  </si>
  <si>
    <t>APÊNDICE C - F</t>
  </si>
  <si>
    <t>SERVENTE DE LIMPEZA (ENCARREGADO)</t>
  </si>
  <si>
    <t>Data: 26 de março de 2025</t>
  </si>
  <si>
    <t>APÊNDICE C - G</t>
  </si>
  <si>
    <t>APÊNDICE C - H</t>
  </si>
  <si>
    <t>APÊNDICE C - I</t>
  </si>
  <si>
    <t>APÊNDICE C - J</t>
  </si>
  <si>
    <t>01 Posto</t>
  </si>
  <si>
    <t>Qtde. Profissionais</t>
  </si>
  <si>
    <t>VALOR GLOBAL TOTAL ESTIMADO</t>
  </si>
  <si>
    <t>Prazos de depreciação adotados estão dentro do estipulado na Tabela de Depreciação da Receita Federal - INSTRUÇÃO NORMATIVA RFB Nº 1700, DE 14 DE MARÇO DE 2017, na qual estabelece o prazo de até 10 anos (dados de vida útil) para Utensílio, máquinas e equipamentos.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</si>
</sst>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"/>
    <numFmt numFmtId="166" formatCode="0.000%"/>
    <numFmt numFmtId="167" formatCode="_-* #,##0.00_-;\-* #,##0.00_-;_-* &quot;-&quot;??_-;_-@"/>
    <numFmt numFmtId="168" formatCode="0.0000%"/>
    <numFmt numFmtId="169" formatCode="_(* #,##0.00_);_(* \(#,##0.00\);_(* &quot;-&quot;??_);_(@_)"/>
    <numFmt numFmtId="170" formatCode="_-&quot;R$&quot;\ * #,##0.00_-;\-&quot;R$&quot;\ * #,##0.00_-;_-&quot;R$&quot;\ * &quot;-&quot;??_-;_-@"/>
    <numFmt numFmtId="171" formatCode="_-&quot;R$ &quot;* #,##0.00_-;&quot;-R$ &quot;* #,##0.00_-;_-&quot;R$ &quot;* \-??_-;_-@_-"/>
    <numFmt numFmtId="172" formatCode="0.000"/>
    <numFmt numFmtId="173" formatCode="0.0000000"/>
    <numFmt numFmtId="174" formatCode="&quot; &quot;[$R$ -416]#,##0.00&quot; &quot;;&quot; &quot;[$R$ -416]&quot;(&quot;#,##0.00&quot;)&quot;;&quot; &quot;[$R$ -416]&quot;-&quot;#&quot; &quot;;&quot; &quot;@&quot; &quot;"/>
    <numFmt numFmtId="175" formatCode="0.0000000000"/>
    <numFmt numFmtId="176" formatCode="&quot;R$&quot;\ #,##0.00"/>
  </numFmts>
  <fonts count="4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Ecofont_spranq_eco_sans"/>
    </font>
    <font>
      <b/>
      <sz val="10"/>
      <color theme="1"/>
      <name val="Ecofont_spranq_eco_sans"/>
    </font>
    <font>
      <b/>
      <sz val="11"/>
      <color theme="1"/>
      <name val="Ecofont_spranq_eco_sans"/>
    </font>
    <font>
      <sz val="10"/>
      <color theme="1"/>
      <name val="Ecofont_spranq_eco_sans"/>
    </font>
    <font>
      <sz val="11"/>
      <color theme="1"/>
      <name val="Ecofont_spranq_eco_sans"/>
    </font>
    <font>
      <sz val="10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Arial"/>
      <family val="2"/>
    </font>
    <font>
      <b/>
      <strike/>
      <sz val="11"/>
      <color rgb="FF000000"/>
      <name val="Arial"/>
      <family val="2"/>
    </font>
    <font>
      <strike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Ecofont_Spranq_eco_Sans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A"/>
      <name val="Arial"/>
      <family val="2"/>
    </font>
    <font>
      <b/>
      <sz val="12"/>
      <color rgb="FFC00000"/>
      <name val="Arial"/>
      <family val="2"/>
    </font>
    <font>
      <sz val="12"/>
      <color theme="1"/>
      <name val="Ecofont_Spranq_eco_Sans"/>
      <family val="2"/>
    </font>
    <font>
      <sz val="12"/>
      <color rgb="FF000000"/>
      <name val="Calibri"/>
      <family val="2"/>
    </font>
    <font>
      <sz val="12"/>
      <color rgb="FFFF0000"/>
      <name val="Arial"/>
      <family val="2"/>
    </font>
    <font>
      <sz val="12"/>
      <color rgb="FFFF0000"/>
      <name val="Ecofont_spranq_eco_sans"/>
    </font>
    <font>
      <b/>
      <sz val="11"/>
      <color rgb="FFFF0000"/>
      <name val="Calibri"/>
      <family val="2"/>
    </font>
    <font>
      <b/>
      <sz val="12"/>
      <color theme="1"/>
      <name val="Ecofont_spranq_eco_sans"/>
    </font>
  </fonts>
  <fills count="2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DB3E2"/>
      </patternFill>
    </fill>
    <fill>
      <patternFill patternType="solid">
        <fgColor theme="0"/>
        <bgColor rgb="FF8DB3E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39997558519241921"/>
        <bgColor rgb="FF93C47D"/>
      </patternFill>
    </fill>
    <fill>
      <patternFill patternType="solid">
        <fgColor theme="4" tint="0.79998168889431442"/>
        <bgColor rgb="FFB6D7A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theme="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0" fillId="0" borderId="8"/>
    <xf numFmtId="0" fontId="2" fillId="0" borderId="8"/>
    <xf numFmtId="169" fontId="10" fillId="0" borderId="8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8"/>
    <xf numFmtId="171" fontId="18" fillId="0" borderId="8" applyBorder="0" applyProtection="0"/>
    <xf numFmtId="9" fontId="18" fillId="0" borderId="8" applyFont="0" applyFill="0" applyBorder="0" applyAlignment="0" applyProtection="0"/>
    <xf numFmtId="0" fontId="1" fillId="0" borderId="8"/>
    <xf numFmtId="0" fontId="10" fillId="0" borderId="8"/>
    <xf numFmtId="9" fontId="16" fillId="0" borderId="0" applyFont="0" applyFill="0" applyBorder="0" applyAlignment="0" applyProtection="0"/>
    <xf numFmtId="0" fontId="19" fillId="0" borderId="8"/>
  </cellStyleXfs>
  <cellXfs count="5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left" wrapText="1"/>
    </xf>
    <xf numFmtId="164" fontId="9" fillId="0" borderId="0" xfId="0" applyNumberFormat="1" applyFont="1"/>
    <xf numFmtId="169" fontId="9" fillId="0" borderId="0" xfId="0" applyNumberFormat="1" applyFont="1"/>
    <xf numFmtId="0" fontId="11" fillId="0" borderId="0" xfId="0" applyFont="1"/>
    <xf numFmtId="0" fontId="13" fillId="0" borderId="0" xfId="0" applyFont="1"/>
    <xf numFmtId="0" fontId="13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46" xfId="0" applyFont="1" applyBorder="1" applyAlignment="1">
      <alignment horizontal="left" vertical="center"/>
    </xf>
    <xf numFmtId="0" fontId="19" fillId="0" borderId="46" xfId="0" applyFont="1" applyBorder="1" applyAlignment="1">
      <alignment vertical="center"/>
    </xf>
    <xf numFmtId="0" fontId="23" fillId="11" borderId="46" xfId="0" applyFont="1" applyFill="1" applyBorder="1" applyAlignment="1">
      <alignment horizontal="center" vertical="center" wrapText="1"/>
    </xf>
    <xf numFmtId="0" fontId="15" fillId="11" borderId="46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9" xfId="0" applyFont="1" applyBorder="1"/>
    <xf numFmtId="0" fontId="13" fillId="0" borderId="7" xfId="0" applyFont="1" applyBorder="1"/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26" fillId="9" borderId="27" xfId="0" applyNumberFormat="1" applyFont="1" applyFill="1" applyBorder="1" applyAlignment="1">
      <alignment horizontal="center" vertical="center"/>
    </xf>
    <xf numFmtId="164" fontId="26" fillId="9" borderId="28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0" fontId="26" fillId="0" borderId="0" xfId="0" applyNumberFormat="1" applyFont="1" applyAlignment="1">
      <alignment horizontal="center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13" fillId="9" borderId="3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9" borderId="27" xfId="0" applyFont="1" applyFill="1" applyBorder="1" applyAlignment="1">
      <alignment horizontal="center" vertical="center"/>
    </xf>
    <xf numFmtId="2" fontId="13" fillId="9" borderId="27" xfId="0" applyNumberFormat="1" applyFont="1" applyFill="1" applyBorder="1" applyAlignment="1">
      <alignment horizontal="center" vertical="center"/>
    </xf>
    <xf numFmtId="164" fontId="13" fillId="9" borderId="28" xfId="0" applyNumberFormat="1" applyFont="1" applyFill="1" applyBorder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0" fontId="13" fillId="9" borderId="38" xfId="0" applyNumberFormat="1" applyFont="1" applyFill="1" applyBorder="1" applyAlignment="1">
      <alignment horizontal="center" vertical="center"/>
    </xf>
    <xf numFmtId="170" fontId="13" fillId="9" borderId="39" xfId="0" applyNumberFormat="1" applyFont="1" applyFill="1" applyBorder="1" applyAlignment="1">
      <alignment horizontal="center" vertical="center"/>
    </xf>
    <xf numFmtId="170" fontId="13" fillId="0" borderId="0" xfId="0" applyNumberFormat="1" applyFont="1" applyAlignment="1">
      <alignment horizontal="left" vertical="center"/>
    </xf>
    <xf numFmtId="167" fontId="13" fillId="9" borderId="28" xfId="0" applyNumberFormat="1" applyFont="1" applyFill="1" applyBorder="1" applyAlignment="1">
      <alignment horizontal="center" vertical="center"/>
    </xf>
    <xf numFmtId="164" fontId="13" fillId="9" borderId="3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5" fillId="6" borderId="4" xfId="0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4" fontId="13" fillId="0" borderId="4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6" borderId="11" xfId="0" applyFont="1" applyFill="1" applyBorder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1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right" vertical="top" wrapText="1"/>
    </xf>
    <xf numFmtId="2" fontId="13" fillId="5" borderId="4" xfId="0" applyNumberFormat="1" applyFont="1" applyFill="1" applyBorder="1" applyAlignment="1">
      <alignment horizontal="right" vertical="top" wrapText="1"/>
    </xf>
    <xf numFmtId="0" fontId="13" fillId="3" borderId="4" xfId="0" applyFont="1" applyFill="1" applyBorder="1" applyAlignment="1">
      <alignment horizontal="left" vertical="top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5" fillId="3" borderId="11" xfId="0" applyFont="1" applyFill="1" applyBorder="1" applyAlignment="1">
      <alignment vertical="top" wrapText="1"/>
    </xf>
    <xf numFmtId="0" fontId="15" fillId="3" borderId="18" xfId="0" applyFont="1" applyFill="1" applyBorder="1" applyAlignment="1">
      <alignment vertical="top" wrapText="1"/>
    </xf>
    <xf numFmtId="0" fontId="15" fillId="3" borderId="13" xfId="0" applyFont="1" applyFill="1" applyBorder="1" applyAlignment="1">
      <alignment vertical="top"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top" wrapText="1"/>
    </xf>
    <xf numFmtId="10" fontId="13" fillId="6" borderId="4" xfId="0" applyNumberFormat="1" applyFont="1" applyFill="1" applyBorder="1" applyAlignment="1">
      <alignment horizontal="center" wrapText="1"/>
    </xf>
    <xf numFmtId="2" fontId="13" fillId="6" borderId="4" xfId="0" applyNumberFormat="1" applyFont="1" applyFill="1" applyBorder="1" applyAlignment="1">
      <alignment horizontal="right" vertical="top" wrapText="1"/>
    </xf>
    <xf numFmtId="164" fontId="15" fillId="3" borderId="4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3" borderId="4" xfId="0" applyFont="1" applyFill="1" applyBorder="1" applyAlignment="1">
      <alignment horizontal="center"/>
    </xf>
    <xf numFmtId="0" fontId="15" fillId="3" borderId="11" xfId="0" applyFont="1" applyFill="1" applyBorder="1"/>
    <xf numFmtId="0" fontId="15" fillId="3" borderId="18" xfId="0" applyFont="1" applyFill="1" applyBorder="1"/>
    <xf numFmtId="0" fontId="15" fillId="3" borderId="13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10" fontId="13" fillId="5" borderId="4" xfId="0" applyNumberFormat="1" applyFont="1" applyFill="1" applyBorder="1" applyAlignment="1">
      <alignment horizontal="center"/>
    </xf>
    <xf numFmtId="2" fontId="13" fillId="6" borderId="4" xfId="0" applyNumberFormat="1" applyFont="1" applyFill="1" applyBorder="1" applyAlignment="1">
      <alignment horizontal="right"/>
    </xf>
    <xf numFmtId="2" fontId="13" fillId="0" borderId="0" xfId="0" applyNumberFormat="1" applyFont="1"/>
    <xf numFmtId="0" fontId="13" fillId="6" borderId="4" xfId="0" applyFont="1" applyFill="1" applyBorder="1"/>
    <xf numFmtId="9" fontId="13" fillId="5" borderId="4" xfId="0" applyNumberFormat="1" applyFont="1" applyFill="1" applyBorder="1" applyAlignment="1">
      <alignment horizontal="center"/>
    </xf>
    <xf numFmtId="10" fontId="13" fillId="6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10" fontId="15" fillId="3" borderId="4" xfId="0" applyNumberFormat="1" applyFont="1" applyFill="1" applyBorder="1" applyAlignment="1">
      <alignment horizontal="center"/>
    </xf>
    <xf numFmtId="164" fontId="15" fillId="3" borderId="4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2" fontId="13" fillId="0" borderId="4" xfId="0" applyNumberFormat="1" applyFont="1" applyBorder="1" applyAlignment="1">
      <alignment horizontal="center" vertical="top" wrapText="1"/>
    </xf>
    <xf numFmtId="0" fontId="13" fillId="6" borderId="11" xfId="0" applyFont="1" applyFill="1" applyBorder="1" applyAlignment="1">
      <alignment wrapText="1"/>
    </xf>
    <xf numFmtId="0" fontId="13" fillId="6" borderId="18" xfId="0" applyFont="1" applyFill="1" applyBorder="1" applyAlignment="1">
      <alignment wrapText="1"/>
    </xf>
    <xf numFmtId="0" fontId="13" fillId="6" borderId="13" xfId="0" applyFont="1" applyFill="1" applyBorder="1" applyAlignment="1">
      <alignment wrapText="1"/>
    </xf>
    <xf numFmtId="164" fontId="13" fillId="5" borderId="4" xfId="0" applyNumberFormat="1" applyFont="1" applyFill="1" applyBorder="1" applyAlignment="1">
      <alignment wrapText="1"/>
    </xf>
    <xf numFmtId="2" fontId="13" fillId="5" borderId="4" xfId="0" applyNumberFormat="1" applyFont="1" applyFill="1" applyBorder="1" applyAlignment="1">
      <alignment horizontal="center" vertical="top" wrapText="1"/>
    </xf>
    <xf numFmtId="0" fontId="13" fillId="6" borderId="8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left" vertical="top" wrapText="1"/>
    </xf>
    <xf numFmtId="2" fontId="15" fillId="6" borderId="8" xfId="0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0" fontId="13" fillId="3" borderId="4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 wrapText="1"/>
    </xf>
    <xf numFmtId="165" fontId="13" fillId="0" borderId="0" xfId="0" applyNumberFormat="1" applyFont="1"/>
    <xf numFmtId="0" fontId="13" fillId="7" borderId="4" xfId="0" applyFont="1" applyFill="1" applyBorder="1" applyAlignment="1">
      <alignment horizontal="center" vertical="center" wrapText="1"/>
    </xf>
    <xf numFmtId="0" fontId="13" fillId="7" borderId="11" xfId="0" applyFont="1" applyFill="1" applyBorder="1"/>
    <xf numFmtId="0" fontId="13" fillId="7" borderId="18" xfId="0" applyFont="1" applyFill="1" applyBorder="1"/>
    <xf numFmtId="0" fontId="13" fillId="7" borderId="13" xfId="0" applyFont="1" applyFill="1" applyBorder="1"/>
    <xf numFmtId="2" fontId="13" fillId="6" borderId="4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top" wrapText="1"/>
    </xf>
    <xf numFmtId="166" fontId="13" fillId="0" borderId="0" xfId="0" applyNumberFormat="1" applyFont="1"/>
    <xf numFmtId="0" fontId="13" fillId="7" borderId="4" xfId="0" applyFont="1" applyFill="1" applyBorder="1" applyAlignment="1">
      <alignment horizontal="center" wrapText="1"/>
    </xf>
    <xf numFmtId="164" fontId="15" fillId="3" borderId="4" xfId="0" applyNumberFormat="1" applyFont="1" applyFill="1" applyBorder="1" applyAlignment="1">
      <alignment horizontal="center"/>
    </xf>
    <xf numFmtId="164" fontId="13" fillId="0" borderId="0" xfId="0" applyNumberFormat="1" applyFont="1"/>
    <xf numFmtId="167" fontId="26" fillId="0" borderId="0" xfId="0" applyNumberFormat="1" applyFont="1"/>
    <xf numFmtId="166" fontId="13" fillId="6" borderId="4" xfId="0" applyNumberFormat="1" applyFont="1" applyFill="1" applyBorder="1" applyAlignment="1">
      <alignment horizontal="center"/>
    </xf>
    <xf numFmtId="0" fontId="13" fillId="5" borderId="11" xfId="0" applyFont="1" applyFill="1" applyBorder="1"/>
    <xf numFmtId="0" fontId="13" fillId="5" borderId="18" xfId="0" applyFont="1" applyFill="1" applyBorder="1"/>
    <xf numFmtId="0" fontId="13" fillId="5" borderId="13" xfId="0" applyFont="1" applyFill="1" applyBorder="1"/>
    <xf numFmtId="166" fontId="13" fillId="5" borderId="4" xfId="0" applyNumberFormat="1" applyFont="1" applyFill="1" applyBorder="1" applyAlignment="1">
      <alignment horizontal="center"/>
    </xf>
    <xf numFmtId="10" fontId="15" fillId="3" borderId="13" xfId="0" applyNumberFormat="1" applyFont="1" applyFill="1" applyBorder="1" applyAlignment="1">
      <alignment horizontal="center"/>
    </xf>
    <xf numFmtId="0" fontId="13" fillId="6" borderId="11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164" fontId="30" fillId="8" borderId="4" xfId="0" applyNumberFormat="1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 vertical="top" wrapText="1"/>
    </xf>
    <xf numFmtId="2" fontId="13" fillId="6" borderId="4" xfId="0" applyNumberFormat="1" applyFont="1" applyFill="1" applyBorder="1" applyAlignment="1">
      <alignment horizontal="center" vertical="top" wrapText="1"/>
    </xf>
    <xf numFmtId="0" fontId="30" fillId="0" borderId="0" xfId="0" applyFont="1" applyAlignment="1">
      <alignment horizontal="left" wrapText="1"/>
    </xf>
    <xf numFmtId="168" fontId="13" fillId="5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168" fontId="13" fillId="5" borderId="4" xfId="0" applyNumberFormat="1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9" fillId="6" borderId="11" xfId="0" applyFont="1" applyFill="1" applyBorder="1" applyAlignment="1">
      <alignment vertical="top" wrapText="1"/>
    </xf>
    <xf numFmtId="0" fontId="29" fillId="6" borderId="18" xfId="0" applyFont="1" applyFill="1" applyBorder="1" applyAlignment="1">
      <alignment vertical="top" wrapText="1"/>
    </xf>
    <xf numFmtId="10" fontId="13" fillId="5" borderId="4" xfId="0" applyNumberFormat="1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vertical="top" wrapText="1"/>
    </xf>
    <xf numFmtId="0" fontId="13" fillId="6" borderId="13" xfId="0" applyFont="1" applyFill="1" applyBorder="1" applyAlignment="1">
      <alignment vertical="top" wrapText="1"/>
    </xf>
    <xf numFmtId="0" fontId="30" fillId="6" borderId="4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/>
    </xf>
    <xf numFmtId="4" fontId="13" fillId="0" borderId="4" xfId="0" applyNumberFormat="1" applyFont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4" fontId="13" fillId="0" borderId="4" xfId="0" applyNumberFormat="1" applyFont="1" applyBorder="1" applyAlignment="1">
      <alignment horizontal="center" wrapText="1"/>
    </xf>
    <xf numFmtId="167" fontId="13" fillId="0" borderId="0" xfId="0" applyNumberFormat="1" applyFont="1"/>
    <xf numFmtId="0" fontId="13" fillId="3" borderId="4" xfId="0" applyFont="1" applyFill="1" applyBorder="1" applyAlignment="1">
      <alignment horizontal="center" wrapText="1"/>
    </xf>
    <xf numFmtId="164" fontId="15" fillId="3" borderId="4" xfId="0" applyNumberFormat="1" applyFont="1" applyFill="1" applyBorder="1" applyAlignment="1">
      <alignment horizontal="left" vertical="top" wrapText="1"/>
    </xf>
    <xf numFmtId="169" fontId="15" fillId="8" borderId="4" xfId="0" applyNumberFormat="1" applyFont="1" applyFill="1" applyBorder="1" applyAlignment="1">
      <alignment horizontal="left" vertical="top" wrapText="1"/>
    </xf>
    <xf numFmtId="0" fontId="14" fillId="0" borderId="52" xfId="4" applyNumberFormat="1" applyFont="1" applyBorder="1" applyAlignment="1">
      <alignment horizontal="center" vertical="top" wrapText="1"/>
    </xf>
    <xf numFmtId="0" fontId="0" fillId="0" borderId="8" xfId="0" applyBorder="1"/>
    <xf numFmtId="0" fontId="14" fillId="0" borderId="49" xfId="4" applyNumberFormat="1" applyFont="1" applyBorder="1" applyAlignment="1">
      <alignment horizontal="center" wrapText="1"/>
    </xf>
    <xf numFmtId="0" fontId="31" fillId="0" borderId="0" xfId="0" applyFont="1"/>
    <xf numFmtId="0" fontId="13" fillId="6" borderId="11" xfId="0" applyFont="1" applyFill="1" applyBorder="1" applyAlignment="1">
      <alignment vertical="top" wrapText="1"/>
    </xf>
    <xf numFmtId="9" fontId="13" fillId="6" borderId="4" xfId="0" applyNumberFormat="1" applyFont="1" applyFill="1" applyBorder="1"/>
    <xf numFmtId="44" fontId="13" fillId="0" borderId="46" xfId="4" applyFont="1" applyBorder="1" applyAlignment="1">
      <alignment horizontal="center" vertical="center"/>
    </xf>
    <xf numFmtId="44" fontId="13" fillId="0" borderId="52" xfId="4" applyFont="1" applyBorder="1" applyAlignment="1">
      <alignment horizontal="center" vertical="center"/>
    </xf>
    <xf numFmtId="44" fontId="13" fillId="0" borderId="46" xfId="4" applyFont="1" applyBorder="1" applyAlignment="1">
      <alignment vertical="center"/>
    </xf>
    <xf numFmtId="0" fontId="19" fillId="0" borderId="52" xfId="0" applyFont="1" applyBorder="1" applyAlignment="1">
      <alignment vertical="center" wrapText="1"/>
    </xf>
    <xf numFmtId="44" fontId="13" fillId="0" borderId="52" xfId="4" applyFont="1" applyBorder="1" applyAlignment="1">
      <alignment vertical="center"/>
    </xf>
    <xf numFmtId="0" fontId="0" fillId="0" borderId="54" xfId="0" applyBorder="1" applyAlignment="1">
      <alignment horizontal="center"/>
    </xf>
    <xf numFmtId="44" fontId="13" fillId="0" borderId="8" xfId="4" applyFont="1" applyBorder="1" applyAlignment="1">
      <alignment horizontal="center" vertical="center"/>
    </xf>
    <xf numFmtId="44" fontId="13" fillId="0" borderId="8" xfId="4" applyFont="1" applyBorder="1" applyAlignment="1">
      <alignment vertical="center"/>
    </xf>
    <xf numFmtId="44" fontId="15" fillId="0" borderId="46" xfId="4" applyFont="1" applyBorder="1" applyAlignment="1">
      <alignment vertical="center"/>
    </xf>
    <xf numFmtId="44" fontId="15" fillId="0" borderId="46" xfId="0" applyNumberFormat="1" applyFont="1" applyBorder="1"/>
    <xf numFmtId="174" fontId="23" fillId="0" borderId="14" xfId="0" applyNumberFormat="1" applyFont="1" applyBorder="1" applyAlignment="1">
      <alignment vertical="center" wrapText="1"/>
    </xf>
    <xf numFmtId="3" fontId="23" fillId="18" borderId="14" xfId="0" applyNumberFormat="1" applyFont="1" applyFill="1" applyBorder="1" applyAlignment="1">
      <alignment horizontal="center" vertical="center" wrapText="1"/>
    </xf>
    <xf numFmtId="174" fontId="23" fillId="18" borderId="14" xfId="0" applyNumberFormat="1" applyFont="1" applyFill="1" applyBorder="1" applyAlignment="1">
      <alignment horizontal="center" vertical="center" wrapText="1"/>
    </xf>
    <xf numFmtId="4" fontId="23" fillId="18" borderId="4" xfId="0" applyNumberFormat="1" applyFont="1" applyFill="1" applyBorder="1" applyAlignment="1">
      <alignment vertical="center" wrapText="1"/>
    </xf>
    <xf numFmtId="174" fontId="23" fillId="18" borderId="4" xfId="0" applyNumberFormat="1" applyFont="1" applyFill="1" applyBorder="1" applyAlignment="1">
      <alignment vertical="center"/>
    </xf>
    <xf numFmtId="174" fontId="23" fillId="18" borderId="12" xfId="0" applyNumberFormat="1" applyFont="1" applyFill="1" applyBorder="1" applyAlignment="1">
      <alignment vertical="center"/>
    </xf>
    <xf numFmtId="174" fontId="23" fillId="18" borderId="46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/>
    <xf numFmtId="0" fontId="7" fillId="0" borderId="46" xfId="0" applyFont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/>
    </xf>
    <xf numFmtId="44" fontId="5" fillId="12" borderId="46" xfId="4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left" wrapText="1"/>
    </xf>
    <xf numFmtId="0" fontId="4" fillId="20" borderId="18" xfId="0" applyFont="1" applyFill="1" applyBorder="1" applyAlignment="1">
      <alignment horizontal="left" wrapText="1"/>
    </xf>
    <xf numFmtId="0" fontId="4" fillId="20" borderId="13" xfId="0" applyFont="1" applyFill="1" applyBorder="1" applyAlignment="1">
      <alignment horizontal="left" wrapText="1"/>
    </xf>
    <xf numFmtId="0" fontId="13" fillId="0" borderId="8" xfId="0" applyFont="1" applyBorder="1" applyAlignment="1">
      <alignment horizontal="left" vertical="top" wrapText="1"/>
    </xf>
    <xf numFmtId="0" fontId="14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vertical="top" wrapText="1"/>
    </xf>
    <xf numFmtId="10" fontId="15" fillId="0" borderId="8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14" fillId="0" borderId="44" xfId="0" applyFont="1" applyBorder="1"/>
    <xf numFmtId="0" fontId="14" fillId="0" borderId="13" xfId="0" applyFont="1" applyBorder="1"/>
    <xf numFmtId="0" fontId="13" fillId="0" borderId="11" xfId="0" applyFont="1" applyBorder="1" applyAlignment="1">
      <alignment horizontal="left" wrapText="1"/>
    </xf>
    <xf numFmtId="0" fontId="14" fillId="0" borderId="13" xfId="0" applyFont="1" applyBorder="1" applyAlignment="1">
      <alignment horizontal="right"/>
    </xf>
    <xf numFmtId="0" fontId="34" fillId="0" borderId="0" xfId="0" applyFont="1"/>
    <xf numFmtId="0" fontId="35" fillId="11" borderId="59" xfId="0" applyFont="1" applyFill="1" applyBorder="1" applyAlignment="1">
      <alignment horizontal="center" vertical="center" wrapText="1"/>
    </xf>
    <xf numFmtId="0" fontId="35" fillId="11" borderId="64" xfId="0" applyFont="1" applyFill="1" applyBorder="1" applyAlignment="1">
      <alignment horizontal="center" vertical="center" wrapText="1"/>
    </xf>
    <xf numFmtId="0" fontId="34" fillId="13" borderId="51" xfId="0" applyFont="1" applyFill="1" applyBorder="1" applyAlignment="1">
      <alignment horizontal="center" vertical="center"/>
    </xf>
    <xf numFmtId="44" fontId="34" fillId="13" borderId="46" xfId="4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36" fillId="0" borderId="46" xfId="5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 wrapText="1"/>
    </xf>
    <xf numFmtId="0" fontId="11" fillId="0" borderId="46" xfId="0" applyFont="1" applyBorder="1" applyAlignment="1">
      <alignment horizontal="center" vertical="center" wrapText="1"/>
    </xf>
    <xf numFmtId="171" fontId="36" fillId="0" borderId="51" xfId="6" applyFont="1" applyBorder="1" applyAlignment="1" applyProtection="1">
      <alignment horizontal="center" vertical="center" wrapText="1"/>
    </xf>
    <xf numFmtId="171" fontId="36" fillId="0" borderId="46" xfId="6" applyFont="1" applyBorder="1" applyAlignment="1" applyProtection="1">
      <alignment horizontal="center" vertical="center" wrapText="1"/>
    </xf>
    <xf numFmtId="10" fontId="11" fillId="0" borderId="46" xfId="4" applyNumberFormat="1" applyFont="1" applyBorder="1" applyAlignment="1">
      <alignment horizontal="center" vertical="center"/>
    </xf>
    <xf numFmtId="164" fontId="11" fillId="10" borderId="14" xfId="0" applyNumberFormat="1" applyFont="1" applyFill="1" applyBorder="1" applyAlignment="1">
      <alignment horizontal="center" vertical="center" wrapText="1"/>
    </xf>
    <xf numFmtId="0" fontId="11" fillId="0" borderId="14" xfId="4" applyNumberFormat="1" applyFont="1" applyFill="1" applyBorder="1" applyAlignment="1">
      <alignment horizontal="center" vertical="center"/>
    </xf>
    <xf numFmtId="44" fontId="11" fillId="0" borderId="14" xfId="4" applyFont="1" applyFill="1" applyBorder="1" applyAlignment="1">
      <alignment horizontal="center" vertical="center"/>
    </xf>
    <xf numFmtId="0" fontId="11" fillId="0" borderId="46" xfId="0" applyFont="1" applyBorder="1" applyAlignment="1">
      <alignment wrapText="1"/>
    </xf>
    <xf numFmtId="0" fontId="11" fillId="0" borderId="46" xfId="0" applyFont="1" applyBorder="1" applyAlignment="1">
      <alignment horizontal="center" wrapText="1"/>
    </xf>
    <xf numFmtId="0" fontId="12" fillId="10" borderId="46" xfId="8" applyFont="1" applyFill="1" applyBorder="1" applyAlignment="1">
      <alignment horizontal="left" vertical="center" wrapText="1"/>
    </xf>
    <xf numFmtId="0" fontId="12" fillId="10" borderId="46" xfId="8" applyFont="1" applyFill="1" applyBorder="1" applyAlignment="1">
      <alignment horizontal="center" vertical="center" wrapText="1"/>
    </xf>
    <xf numFmtId="0" fontId="12" fillId="0" borderId="46" xfId="8" applyFont="1" applyBorder="1" applyAlignment="1">
      <alignment horizontal="left" vertical="center" wrapText="1"/>
    </xf>
    <xf numFmtId="0" fontId="12" fillId="0" borderId="46" xfId="8" applyFont="1" applyBorder="1" applyAlignment="1">
      <alignment horizontal="center" vertical="center" wrapText="1"/>
    </xf>
    <xf numFmtId="0" fontId="12" fillId="0" borderId="49" xfId="8" applyFont="1" applyBorder="1" applyAlignment="1">
      <alignment horizontal="left" vertical="center" wrapText="1"/>
    </xf>
    <xf numFmtId="0" fontId="12" fillId="0" borderId="49" xfId="8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71" fontId="36" fillId="0" borderId="49" xfId="6" applyFont="1" applyBorder="1" applyAlignment="1" applyProtection="1">
      <alignment horizontal="center" vertical="center" wrapText="1"/>
    </xf>
    <xf numFmtId="0" fontId="34" fillId="13" borderId="46" xfId="0" applyFont="1" applyFill="1" applyBorder="1" applyAlignment="1">
      <alignment horizontal="center" vertical="center"/>
    </xf>
    <xf numFmtId="44" fontId="34" fillId="13" borderId="46" xfId="4" applyFont="1" applyFill="1" applyBorder="1" applyAlignment="1">
      <alignment vertical="center"/>
    </xf>
    <xf numFmtId="0" fontId="12" fillId="0" borderId="46" xfId="9" applyFont="1" applyBorder="1" applyAlignment="1">
      <alignment horizontal="left" vertical="center" wrapText="1"/>
    </xf>
    <xf numFmtId="0" fontId="12" fillId="0" borderId="46" xfId="9" applyFont="1" applyBorder="1" applyAlignment="1">
      <alignment horizontal="center" vertical="center" wrapText="1"/>
    </xf>
    <xf numFmtId="0" fontId="12" fillId="10" borderId="49" xfId="8" applyFont="1" applyFill="1" applyBorder="1" applyAlignment="1">
      <alignment horizontal="center" vertical="center" wrapText="1"/>
    </xf>
    <xf numFmtId="44" fontId="34" fillId="10" borderId="46" xfId="0" applyNumberFormat="1" applyFont="1" applyFill="1" applyBorder="1"/>
    <xf numFmtId="0" fontId="38" fillId="0" borderId="0" xfId="0" applyFont="1"/>
    <xf numFmtId="10" fontId="11" fillId="15" borderId="46" xfId="0" applyNumberFormat="1" applyFont="1" applyFill="1" applyBorder="1" applyAlignment="1" applyProtection="1">
      <alignment horizontal="center" vertical="center" wrapText="1"/>
      <protection locked="0"/>
    </xf>
    <xf numFmtId="44" fontId="11" fillId="10" borderId="46" xfId="4" applyFont="1" applyFill="1" applyBorder="1" applyAlignment="1" applyProtection="1">
      <alignment vertical="center"/>
    </xf>
    <xf numFmtId="10" fontId="11" fillId="15" borderId="46" xfId="0" applyNumberFormat="1" applyFont="1" applyFill="1" applyBorder="1" applyAlignment="1" applyProtection="1">
      <alignment horizontal="center" vertical="top" wrapText="1"/>
      <protection locked="0"/>
    </xf>
    <xf numFmtId="168" fontId="34" fillId="10" borderId="46" xfId="10" applyNumberFormat="1" applyFont="1" applyFill="1" applyBorder="1" applyAlignment="1" applyProtection="1">
      <alignment horizontal="center" vertical="center"/>
    </xf>
    <xf numFmtId="10" fontId="11" fillId="10" borderId="46" xfId="0" applyNumberFormat="1" applyFont="1" applyFill="1" applyBorder="1" applyAlignment="1">
      <alignment horizontal="center" vertical="center"/>
    </xf>
    <xf numFmtId="10" fontId="34" fillId="10" borderId="46" xfId="0" applyNumberFormat="1" applyFont="1" applyFill="1" applyBorder="1" applyAlignment="1">
      <alignment horizontal="center" vertical="center"/>
    </xf>
    <xf numFmtId="14" fontId="11" fillId="0" borderId="0" xfId="0" applyNumberFormat="1" applyFont="1"/>
    <xf numFmtId="0" fontId="35" fillId="11" borderId="49" xfId="0" applyFont="1" applyFill="1" applyBorder="1" applyAlignment="1">
      <alignment horizontal="center" vertical="center" wrapText="1"/>
    </xf>
    <xf numFmtId="0" fontId="35" fillId="11" borderId="55" xfId="0" applyFont="1" applyFill="1" applyBorder="1" applyAlignment="1">
      <alignment horizontal="center" vertical="center" wrapText="1"/>
    </xf>
    <xf numFmtId="0" fontId="35" fillId="11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1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7" fillId="0" borderId="46" xfId="0" applyNumberFormat="1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0" fontId="42" fillId="9" borderId="28" xfId="0" applyFont="1" applyFill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Continuous"/>
    </xf>
    <xf numFmtId="0" fontId="32" fillId="0" borderId="46" xfId="0" applyFont="1" applyBorder="1" applyAlignment="1">
      <alignment horizontal="center" vertical="center" wrapText="1"/>
    </xf>
    <xf numFmtId="0" fontId="15" fillId="0" borderId="0" xfId="0" applyFont="1"/>
    <xf numFmtId="0" fontId="34" fillId="0" borderId="8" xfId="0" applyFont="1" applyBorder="1" applyAlignment="1">
      <alignment horizontal="center" vertical="center"/>
    </xf>
    <xf numFmtId="0" fontId="12" fillId="0" borderId="8" xfId="0" applyFont="1" applyBorder="1"/>
    <xf numFmtId="0" fontId="15" fillId="13" borderId="51" xfId="0" applyFont="1" applyFill="1" applyBorder="1" applyAlignment="1">
      <alignment horizontal="center" vertical="center"/>
    </xf>
    <xf numFmtId="44" fontId="15" fillId="13" borderId="51" xfId="4" applyFont="1" applyFill="1" applyBorder="1" applyAlignment="1">
      <alignment horizontal="center" vertical="center"/>
    </xf>
    <xf numFmtId="14" fontId="13" fillId="0" borderId="0" xfId="0" applyNumberFormat="1" applyFont="1"/>
    <xf numFmtId="0" fontId="13" fillId="10" borderId="46" xfId="0" applyFont="1" applyFill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13" fillId="0" borderId="46" xfId="0" applyFont="1" applyBorder="1" applyAlignment="1">
      <alignment vertical="center" wrapText="1"/>
    </xf>
    <xf numFmtId="10" fontId="13" fillId="0" borderId="46" xfId="4" applyNumberFormat="1" applyFont="1" applyBorder="1" applyAlignment="1">
      <alignment vertical="center"/>
    </xf>
    <xf numFmtId="164" fontId="13" fillId="10" borderId="46" xfId="0" applyNumberFormat="1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44" fontId="15" fillId="0" borderId="8" xfId="4" applyFont="1" applyFill="1" applyBorder="1" applyAlignment="1">
      <alignment horizontal="center" vertical="center"/>
    </xf>
    <xf numFmtId="0" fontId="7" fillId="0" borderId="46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center" vertical="center"/>
    </xf>
    <xf numFmtId="44" fontId="36" fillId="0" borderId="49" xfId="4" applyFont="1" applyBorder="1" applyAlignment="1" applyProtection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0" xfId="0" applyFont="1"/>
    <xf numFmtId="0" fontId="4" fillId="20" borderId="11" xfId="0" applyFont="1" applyFill="1" applyBorder="1" applyAlignment="1">
      <alignment horizontal="left" wrapText="1"/>
    </xf>
    <xf numFmtId="0" fontId="39" fillId="0" borderId="8" xfId="11" applyFont="1" applyAlignment="1">
      <alignment horizontal="center" vertical="center"/>
    </xf>
    <xf numFmtId="0" fontId="39" fillId="0" borderId="8" xfId="11" applyFont="1" applyAlignment="1">
      <alignment horizontal="center"/>
    </xf>
    <xf numFmtId="0" fontId="11" fillId="0" borderId="0" xfId="0" applyFont="1" applyAlignment="1">
      <alignment horizontal="left" vertical="top" wrapText="1"/>
    </xf>
    <xf numFmtId="10" fontId="11" fillId="0" borderId="46" xfId="4" applyNumberFormat="1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10" borderId="46" xfId="0" applyFont="1" applyFill="1" applyBorder="1" applyAlignment="1">
      <alignment horizontal="center" vertical="center"/>
    </xf>
    <xf numFmtId="0" fontId="11" fillId="0" borderId="0" xfId="0" applyFont="1"/>
    <xf numFmtId="0" fontId="36" fillId="0" borderId="46" xfId="5" applyFont="1" applyFill="1" applyBorder="1" applyAlignment="1">
      <alignment horizontal="center" vertical="center" wrapText="1"/>
    </xf>
    <xf numFmtId="0" fontId="12" fillId="0" borderId="46" xfId="8" applyFont="1" applyFill="1" applyBorder="1" applyAlignment="1">
      <alignment horizontal="left" vertical="center" wrapText="1"/>
    </xf>
    <xf numFmtId="0" fontId="12" fillId="0" borderId="46" xfId="8" applyFont="1" applyFill="1" applyBorder="1" applyAlignment="1">
      <alignment horizontal="center" vertical="center" wrapText="1"/>
    </xf>
    <xf numFmtId="171" fontId="36" fillId="0" borderId="46" xfId="6" applyFont="1" applyFill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176" fontId="13" fillId="10" borderId="46" xfId="0" applyNumberFormat="1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46" xfId="0" applyFont="1" applyBorder="1" applyAlignment="1">
      <alignment horizontal="center" vertical="center"/>
    </xf>
    <xf numFmtId="0" fontId="13" fillId="10" borderId="46" xfId="0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top" wrapText="1"/>
    </xf>
    <xf numFmtId="2" fontId="13" fillId="15" borderId="4" xfId="0" applyNumberFormat="1" applyFont="1" applyFill="1" applyBorder="1" applyAlignment="1">
      <alignment horizontal="right" vertical="top" wrapText="1"/>
    </xf>
    <xf numFmtId="168" fontId="13" fillId="15" borderId="4" xfId="0" applyNumberFormat="1" applyFont="1" applyFill="1" applyBorder="1" applyAlignment="1">
      <alignment horizontal="center" vertical="center" wrapText="1"/>
    </xf>
    <xf numFmtId="168" fontId="13" fillId="15" borderId="4" xfId="0" applyNumberFormat="1" applyFont="1" applyFill="1" applyBorder="1" applyAlignment="1">
      <alignment horizontal="center" vertical="top" wrapText="1"/>
    </xf>
    <xf numFmtId="44" fontId="5" fillId="12" borderId="51" xfId="0" applyNumberFormat="1" applyFont="1" applyFill="1" applyBorder="1" applyAlignment="1">
      <alignment vertical="center" wrapText="1"/>
    </xf>
    <xf numFmtId="0" fontId="5" fillId="12" borderId="47" xfId="0" applyFont="1" applyFill="1" applyBorder="1" applyAlignment="1">
      <alignment horizontal="right" vertical="center" wrapText="1"/>
    </xf>
    <xf numFmtId="0" fontId="5" fillId="12" borderId="45" xfId="0" applyFont="1" applyFill="1" applyBorder="1" applyAlignment="1">
      <alignment horizontal="right" vertical="center" wrapText="1"/>
    </xf>
    <xf numFmtId="0" fontId="5" fillId="16" borderId="61" xfId="0" applyFont="1" applyFill="1" applyBorder="1" applyAlignment="1">
      <alignment horizontal="center" vertical="center"/>
    </xf>
    <xf numFmtId="0" fontId="5" fillId="16" borderId="62" xfId="0" applyFont="1" applyFill="1" applyBorder="1" applyAlignment="1">
      <alignment horizontal="center" vertical="center"/>
    </xf>
    <xf numFmtId="0" fontId="5" fillId="16" borderId="63" xfId="0" applyFont="1" applyFill="1" applyBorder="1" applyAlignment="1">
      <alignment horizontal="center" vertical="center"/>
    </xf>
    <xf numFmtId="0" fontId="5" fillId="12" borderId="46" xfId="0" applyFont="1" applyFill="1" applyBorder="1" applyAlignment="1">
      <alignment horizontal="right" vertical="center" wrapText="1"/>
    </xf>
    <xf numFmtId="0" fontId="23" fillId="11" borderId="46" xfId="0" applyFont="1" applyFill="1" applyBorder="1" applyAlignment="1">
      <alignment horizontal="right" vertical="center"/>
    </xf>
    <xf numFmtId="1" fontId="23" fillId="11" borderId="46" xfId="0" applyNumberFormat="1" applyFont="1" applyFill="1" applyBorder="1" applyAlignment="1">
      <alignment horizontal="center" vertical="center"/>
    </xf>
    <xf numFmtId="1" fontId="23" fillId="11" borderId="47" xfId="0" applyNumberFormat="1" applyFont="1" applyFill="1" applyBorder="1" applyAlignment="1">
      <alignment horizontal="center" vertical="center"/>
    </xf>
    <xf numFmtId="1" fontId="23" fillId="11" borderId="5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/>
    </xf>
    <xf numFmtId="0" fontId="20" fillId="0" borderId="8" xfId="11" applyFont="1" applyAlignment="1">
      <alignment horizontal="center" vertical="center"/>
    </xf>
    <xf numFmtId="0" fontId="20" fillId="0" borderId="8" xfId="11" applyFont="1" applyAlignment="1">
      <alignment horizontal="center"/>
    </xf>
    <xf numFmtId="0" fontId="13" fillId="11" borderId="46" xfId="0" applyFont="1" applyFill="1" applyBorder="1" applyAlignment="1">
      <alignment horizontal="center" vertical="center" wrapText="1"/>
    </xf>
    <xf numFmtId="0" fontId="23" fillId="18" borderId="14" xfId="0" applyFont="1" applyFill="1" applyBorder="1" applyAlignment="1">
      <alignment horizontal="center" vertical="center" wrapText="1"/>
    </xf>
    <xf numFmtId="3" fontId="23" fillId="18" borderId="1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2" fontId="23" fillId="11" borderId="46" xfId="0" applyNumberFormat="1" applyFont="1" applyFill="1" applyBorder="1" applyAlignment="1">
      <alignment horizontal="center" vertical="center"/>
    </xf>
    <xf numFmtId="0" fontId="23" fillId="11" borderId="46" xfId="0" applyFont="1" applyFill="1" applyBorder="1" applyAlignment="1">
      <alignment horizontal="center" vertical="center" wrapText="1"/>
    </xf>
    <xf numFmtId="0" fontId="15" fillId="11" borderId="46" xfId="0" applyFont="1" applyFill="1" applyBorder="1" applyAlignment="1">
      <alignment horizontal="center" vertical="center" wrapText="1"/>
    </xf>
    <xf numFmtId="172" fontId="17" fillId="0" borderId="53" xfId="0" applyNumberFormat="1" applyFont="1" applyBorder="1" applyAlignment="1">
      <alignment horizontal="center" vertical="center"/>
    </xf>
    <xf numFmtId="172" fontId="17" fillId="0" borderId="59" xfId="0" applyNumberFormat="1" applyFont="1" applyBorder="1" applyAlignment="1">
      <alignment horizontal="center" vertical="center"/>
    </xf>
    <xf numFmtId="172" fontId="17" fillId="0" borderId="54" xfId="0" applyNumberFormat="1" applyFont="1" applyBorder="1" applyAlignment="1">
      <alignment horizontal="center" vertical="center"/>
    </xf>
    <xf numFmtId="172" fontId="17" fillId="0" borderId="60" xfId="0" applyNumberFormat="1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17" fillId="10" borderId="53" xfId="0" applyFont="1" applyFill="1" applyBorder="1" applyAlignment="1">
      <alignment horizontal="center" vertical="center"/>
    </xf>
    <xf numFmtId="0" fontId="17" fillId="10" borderId="59" xfId="0" applyFont="1" applyFill="1" applyBorder="1" applyAlignment="1">
      <alignment horizontal="center" vertical="center"/>
    </xf>
    <xf numFmtId="165" fontId="23" fillId="0" borderId="46" xfId="0" applyNumberFormat="1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44" fontId="13" fillId="0" borderId="46" xfId="4" applyFont="1" applyBorder="1" applyAlignment="1">
      <alignment horizontal="center" vertical="center"/>
    </xf>
    <xf numFmtId="44" fontId="13" fillId="0" borderId="46" xfId="0" applyNumberFormat="1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15" borderId="46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172" fontId="23" fillId="0" borderId="46" xfId="0" applyNumberFormat="1" applyFont="1" applyBorder="1" applyAlignment="1">
      <alignment horizontal="center" vertical="center" wrapText="1"/>
    </xf>
    <xf numFmtId="172" fontId="23" fillId="0" borderId="47" xfId="0" applyNumberFormat="1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49" xfId="4" applyNumberFormat="1" applyFont="1" applyBorder="1" applyAlignment="1">
      <alignment horizontal="center" vertical="center"/>
    </xf>
    <xf numFmtId="0" fontId="13" fillId="0" borderId="52" xfId="4" applyNumberFormat="1" applyFont="1" applyBorder="1" applyAlignment="1">
      <alignment horizontal="center" vertical="center"/>
    </xf>
    <xf numFmtId="0" fontId="14" fillId="15" borderId="53" xfId="0" applyFont="1" applyFill="1" applyBorder="1" applyAlignment="1">
      <alignment horizontal="center" vertical="center"/>
    </xf>
    <xf numFmtId="0" fontId="14" fillId="15" borderId="59" xfId="0" applyFont="1" applyFill="1" applyBorder="1" applyAlignment="1">
      <alignment horizontal="center" vertical="center"/>
    </xf>
    <xf numFmtId="0" fontId="14" fillId="15" borderId="54" xfId="0" applyFont="1" applyFill="1" applyBorder="1" applyAlignment="1">
      <alignment horizontal="center" vertical="center"/>
    </xf>
    <xf numFmtId="0" fontId="14" fillId="15" borderId="60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/>
    </xf>
    <xf numFmtId="172" fontId="17" fillId="0" borderId="64" xfId="0" applyNumberFormat="1" applyFont="1" applyBorder="1" applyAlignment="1">
      <alignment horizontal="center" vertical="center"/>
    </xf>
    <xf numFmtId="172" fontId="17" fillId="0" borderId="65" xfId="0" applyNumberFormat="1" applyFont="1" applyBorder="1" applyAlignment="1">
      <alignment horizontal="center" vertical="center"/>
    </xf>
    <xf numFmtId="0" fontId="14" fillId="0" borderId="49" xfId="4" applyNumberFormat="1" applyFont="1" applyBorder="1" applyAlignment="1">
      <alignment horizontal="center" vertical="top" wrapText="1"/>
    </xf>
    <xf numFmtId="0" fontId="14" fillId="0" borderId="52" xfId="4" applyNumberFormat="1" applyFont="1" applyBorder="1" applyAlignment="1">
      <alignment horizontal="center" vertical="top" wrapText="1"/>
    </xf>
    <xf numFmtId="44" fontId="13" fillId="0" borderId="55" xfId="4" applyFont="1" applyBorder="1" applyAlignment="1">
      <alignment horizontal="center" vertical="center"/>
    </xf>
    <xf numFmtId="44" fontId="13" fillId="0" borderId="52" xfId="4" applyFont="1" applyBorder="1" applyAlignment="1">
      <alignment horizontal="center" vertical="center"/>
    </xf>
    <xf numFmtId="175" fontId="13" fillId="0" borderId="46" xfId="0" applyNumberFormat="1" applyFont="1" applyBorder="1" applyAlignment="1">
      <alignment horizontal="center" vertical="center"/>
    </xf>
    <xf numFmtId="44" fontId="14" fillId="0" borderId="49" xfId="4" applyFont="1" applyBorder="1" applyAlignment="1">
      <alignment horizontal="center" wrapText="1"/>
    </xf>
    <xf numFmtId="44" fontId="14" fillId="0" borderId="55" xfId="4" applyFont="1" applyBorder="1" applyAlignment="1">
      <alignment horizontal="center" wrapText="1"/>
    </xf>
    <xf numFmtId="44" fontId="14" fillId="0" borderId="52" xfId="4" applyFont="1" applyBorder="1" applyAlignment="1">
      <alignment horizontal="center" wrapText="1"/>
    </xf>
    <xf numFmtId="44" fontId="13" fillId="0" borderId="49" xfId="4" applyFont="1" applyBorder="1" applyAlignment="1">
      <alignment horizontal="center" vertical="center"/>
    </xf>
    <xf numFmtId="44" fontId="13" fillId="0" borderId="49" xfId="0" applyNumberFormat="1" applyFont="1" applyBorder="1" applyAlignment="1">
      <alignment horizontal="center" vertical="center"/>
    </xf>
    <xf numFmtId="44" fontId="13" fillId="0" borderId="55" xfId="0" applyNumberFormat="1" applyFont="1" applyBorder="1" applyAlignment="1">
      <alignment horizontal="center" vertical="center"/>
    </xf>
    <xf numFmtId="44" fontId="13" fillId="0" borderId="52" xfId="0" applyNumberFormat="1" applyFont="1" applyBorder="1" applyAlignment="1">
      <alignment horizontal="center" vertical="center"/>
    </xf>
    <xf numFmtId="0" fontId="13" fillId="0" borderId="55" xfId="4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 wrapText="1"/>
    </xf>
    <xf numFmtId="0" fontId="23" fillId="18" borderId="13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center" vertical="center"/>
    </xf>
    <xf numFmtId="0" fontId="23" fillId="18" borderId="13" xfId="0" applyFont="1" applyFill="1" applyBorder="1" applyAlignment="1">
      <alignment horizontal="center" vertical="center"/>
    </xf>
    <xf numFmtId="0" fontId="23" fillId="17" borderId="11" xfId="0" applyFont="1" applyFill="1" applyBorder="1" applyAlignment="1">
      <alignment horizontal="center" vertical="center"/>
    </xf>
    <xf numFmtId="0" fontId="23" fillId="17" borderId="44" xfId="0" applyFont="1" applyFill="1" applyBorder="1" applyAlignment="1">
      <alignment horizontal="center" vertical="center"/>
    </xf>
    <xf numFmtId="0" fontId="23" fillId="17" borderId="13" xfId="0" applyFont="1" applyFill="1" applyBorder="1" applyAlignment="1">
      <alignment horizontal="center" vertical="center"/>
    </xf>
    <xf numFmtId="0" fontId="23" fillId="18" borderId="42" xfId="0" applyFont="1" applyFill="1" applyBorder="1" applyAlignment="1">
      <alignment horizontal="center" vertical="center"/>
    </xf>
    <xf numFmtId="0" fontId="23" fillId="18" borderId="43" xfId="0" applyFont="1" applyFill="1" applyBorder="1" applyAlignment="1">
      <alignment horizontal="center" vertical="center"/>
    </xf>
    <xf numFmtId="0" fontId="23" fillId="18" borderId="50" xfId="0" applyFont="1" applyFill="1" applyBorder="1" applyAlignment="1">
      <alignment horizontal="center" vertical="center"/>
    </xf>
    <xf numFmtId="0" fontId="23" fillId="18" borderId="46" xfId="0" applyFont="1" applyFill="1" applyBorder="1" applyAlignment="1">
      <alignment horizontal="center" vertical="center"/>
    </xf>
    <xf numFmtId="0" fontId="17" fillId="19" borderId="46" xfId="0" applyFont="1" applyFill="1" applyBorder="1" applyAlignment="1">
      <alignment horizontal="center" vertical="center"/>
    </xf>
    <xf numFmtId="165" fontId="23" fillId="0" borderId="49" xfId="0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3" fillId="14" borderId="46" xfId="0" applyFont="1" applyFill="1" applyBorder="1" applyAlignment="1">
      <alignment horizontal="center" vertical="center"/>
    </xf>
    <xf numFmtId="0" fontId="23" fillId="14" borderId="46" xfId="0" applyFont="1" applyFill="1" applyBorder="1" applyAlignment="1">
      <alignment horizontal="center" vertical="center" wrapText="1"/>
    </xf>
    <xf numFmtId="172" fontId="17" fillId="0" borderId="46" xfId="0" applyNumberFormat="1" applyFont="1" applyBorder="1" applyAlignment="1">
      <alignment horizontal="center" vertical="center"/>
    </xf>
    <xf numFmtId="172" fontId="17" fillId="0" borderId="47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172" fontId="17" fillId="0" borderId="52" xfId="0" applyNumberFormat="1" applyFont="1" applyBorder="1" applyAlignment="1">
      <alignment horizontal="center" vertical="center"/>
    </xf>
    <xf numFmtId="173" fontId="13" fillId="0" borderId="49" xfId="0" applyNumberFormat="1" applyFont="1" applyBorder="1" applyAlignment="1">
      <alignment horizontal="center" vertical="center"/>
    </xf>
    <xf numFmtId="173" fontId="13" fillId="0" borderId="52" xfId="0" applyNumberFormat="1" applyFont="1" applyBorder="1" applyAlignment="1">
      <alignment horizontal="center" vertical="center"/>
    </xf>
    <xf numFmtId="0" fontId="13" fillId="6" borderId="6" xfId="0" applyFont="1" applyFill="1" applyBorder="1" applyAlignment="1">
      <alignment horizontal="left"/>
    </xf>
    <xf numFmtId="0" fontId="14" fillId="0" borderId="9" xfId="0" applyFont="1" applyBorder="1"/>
    <xf numFmtId="0" fontId="14" fillId="0" borderId="7" xfId="0" applyFont="1" applyBorder="1"/>
    <xf numFmtId="0" fontId="15" fillId="3" borderId="6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center" wrapText="1"/>
    </xf>
    <xf numFmtId="0" fontId="14" fillId="0" borderId="5" xfId="0" applyFont="1" applyBorder="1"/>
    <xf numFmtId="0" fontId="15" fillId="3" borderId="15" xfId="0" applyFont="1" applyFill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0" fontId="15" fillId="4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/>
    <xf numFmtId="0" fontId="15" fillId="5" borderId="6" xfId="0" applyFont="1" applyFill="1" applyBorder="1" applyAlignment="1">
      <alignment horizontal="center" vertical="top" wrapText="1"/>
    </xf>
    <xf numFmtId="0" fontId="17" fillId="0" borderId="7" xfId="0" applyFont="1" applyBorder="1"/>
    <xf numFmtId="49" fontId="15" fillId="5" borderId="6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9" xfId="0" applyFont="1" applyBorder="1"/>
    <xf numFmtId="0" fontId="3" fillId="0" borderId="7" xfId="0" applyFont="1" applyBorder="1"/>
    <xf numFmtId="0" fontId="13" fillId="7" borderId="6" xfId="0" applyFont="1" applyFill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12" borderId="6" xfId="0" applyFont="1" applyFill="1" applyBorder="1" applyAlignment="1">
      <alignment horizontal="center" vertical="center" wrapText="1"/>
    </xf>
    <xf numFmtId="0" fontId="14" fillId="11" borderId="9" xfId="0" applyFont="1" applyFill="1" applyBorder="1"/>
    <xf numFmtId="0" fontId="14" fillId="11" borderId="7" xfId="0" applyFont="1" applyFill="1" applyBorder="1"/>
    <xf numFmtId="0" fontId="13" fillId="0" borderId="47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top" wrapText="1"/>
    </xf>
    <xf numFmtId="0" fontId="14" fillId="0" borderId="19" xfId="0" applyFont="1" applyBorder="1"/>
    <xf numFmtId="164" fontId="13" fillId="5" borderId="6" xfId="0" applyNumberFormat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14" fontId="13" fillId="5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0" fontId="13" fillId="15" borderId="11" xfId="0" applyFont="1" applyFill="1" applyBorder="1" applyAlignment="1">
      <alignment horizontal="left" wrapText="1"/>
    </xf>
    <xf numFmtId="0" fontId="13" fillId="15" borderId="44" xfId="0" applyFont="1" applyFill="1" applyBorder="1" applyAlignment="1">
      <alignment horizontal="left" wrapText="1"/>
    </xf>
    <xf numFmtId="0" fontId="13" fillId="15" borderId="13" xfId="0" applyFont="1" applyFill="1" applyBorder="1" applyAlignment="1">
      <alignment horizontal="left" wrapText="1"/>
    </xf>
    <xf numFmtId="0" fontId="15" fillId="11" borderId="4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left" wrapText="1"/>
    </xf>
    <xf numFmtId="0" fontId="11" fillId="20" borderId="11" xfId="0" applyFont="1" applyFill="1" applyBorder="1" applyAlignment="1">
      <alignment horizontal="left" wrapText="1"/>
    </xf>
    <xf numFmtId="0" fontId="12" fillId="15" borderId="44" xfId="0" applyFont="1" applyFill="1" applyBorder="1"/>
    <xf numFmtId="0" fontId="12" fillId="15" borderId="13" xfId="0" applyFont="1" applyFill="1" applyBorder="1"/>
    <xf numFmtId="0" fontId="4" fillId="20" borderId="11" xfId="0" applyFont="1" applyFill="1" applyBorder="1" applyAlignment="1">
      <alignment horizontal="left" wrapText="1"/>
    </xf>
    <xf numFmtId="0" fontId="3" fillId="15" borderId="44" xfId="0" applyFont="1" applyFill="1" applyBorder="1"/>
    <xf numFmtId="0" fontId="3" fillId="15" borderId="13" xfId="0" applyFont="1" applyFill="1" applyBorder="1"/>
    <xf numFmtId="0" fontId="13" fillId="5" borderId="6" xfId="0" applyFont="1" applyFill="1" applyBorder="1" applyAlignment="1">
      <alignment horizontal="left" wrapText="1"/>
    </xf>
    <xf numFmtId="0" fontId="15" fillId="6" borderId="20" xfId="0" applyFont="1" applyFill="1" applyBorder="1" applyAlignment="1">
      <alignment horizontal="center" vertical="top" wrapText="1"/>
    </xf>
    <xf numFmtId="0" fontId="14" fillId="0" borderId="21" xfId="0" applyFont="1" applyBorder="1"/>
    <xf numFmtId="0" fontId="14" fillId="0" borderId="22" xfId="0" applyFont="1" applyBorder="1"/>
    <xf numFmtId="0" fontId="15" fillId="6" borderId="1" xfId="0" applyFont="1" applyFill="1" applyBorder="1" applyAlignment="1">
      <alignment horizontal="center" vertical="top" wrapText="1"/>
    </xf>
    <xf numFmtId="0" fontId="14" fillId="0" borderId="2" xfId="0" applyFont="1" applyBorder="1"/>
    <xf numFmtId="0" fontId="14" fillId="0" borderId="3" xfId="0" applyFont="1" applyBorder="1"/>
    <xf numFmtId="0" fontId="15" fillId="3" borderId="6" xfId="0" applyFont="1" applyFill="1" applyBorder="1" applyAlignment="1">
      <alignment horizontal="center"/>
    </xf>
    <xf numFmtId="0" fontId="30" fillId="8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wrapText="1"/>
    </xf>
    <xf numFmtId="0" fontId="14" fillId="0" borderId="10" xfId="0" applyFont="1" applyBorder="1"/>
    <xf numFmtId="0" fontId="13" fillId="0" borderId="0" xfId="0" applyFont="1" applyAlignment="1">
      <alignment horizontal="left" wrapText="1"/>
    </xf>
    <xf numFmtId="0" fontId="15" fillId="6" borderId="20" xfId="0" applyFont="1" applyFill="1" applyBorder="1" applyAlignment="1">
      <alignment horizontal="left" vertical="top" wrapText="1"/>
    </xf>
    <xf numFmtId="164" fontId="13" fillId="9" borderId="29" xfId="0" applyNumberFormat="1" applyFont="1" applyFill="1" applyBorder="1" applyAlignment="1">
      <alignment horizontal="center" vertical="center"/>
    </xf>
    <xf numFmtId="0" fontId="14" fillId="0" borderId="34" xfId="0" applyFont="1" applyBorder="1"/>
    <xf numFmtId="0" fontId="14" fillId="0" borderId="31" xfId="0" applyFont="1" applyBorder="1"/>
    <xf numFmtId="0" fontId="13" fillId="9" borderId="40" xfId="0" applyFont="1" applyFill="1" applyBorder="1" applyAlignment="1">
      <alignment horizontal="center" vertical="center"/>
    </xf>
    <xf numFmtId="0" fontId="14" fillId="0" borderId="41" xfId="0" applyFont="1" applyBorder="1"/>
    <xf numFmtId="164" fontId="15" fillId="9" borderId="15" xfId="0" applyNumberFormat="1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14" fillId="0" borderId="30" xfId="0" applyFont="1" applyBorder="1"/>
    <xf numFmtId="170" fontId="26" fillId="9" borderId="29" xfId="0" applyNumberFormat="1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4" fillId="0" borderId="36" xfId="0" applyFont="1" applyBorder="1"/>
    <xf numFmtId="0" fontId="14" fillId="0" borderId="37" xfId="0" applyFont="1" applyBorder="1"/>
    <xf numFmtId="170" fontId="15" fillId="9" borderId="15" xfId="0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4" fillId="0" borderId="25" xfId="0" applyFont="1" applyBorder="1"/>
    <xf numFmtId="0" fontId="14" fillId="0" borderId="26" xfId="0" applyFont="1" applyBorder="1"/>
    <xf numFmtId="0" fontId="13" fillId="2" borderId="24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 vertical="center" wrapText="1"/>
    </xf>
    <xf numFmtId="0" fontId="29" fillId="6" borderId="6" xfId="0" applyFont="1" applyFill="1" applyBorder="1" applyAlignment="1">
      <alignment horizontal="left" vertical="top" wrapText="1"/>
    </xf>
    <xf numFmtId="0" fontId="14" fillId="0" borderId="23" xfId="0" applyFont="1" applyBorder="1"/>
    <xf numFmtId="0" fontId="13" fillId="0" borderId="6" xfId="0" applyFont="1" applyFill="1" applyBorder="1" applyAlignment="1">
      <alignment horizontal="left" vertical="top" wrapText="1"/>
    </xf>
    <xf numFmtId="0" fontId="14" fillId="0" borderId="9" xfId="0" applyFont="1" applyFill="1" applyBorder="1"/>
    <xf numFmtId="0" fontId="14" fillId="0" borderId="7" xfId="0" applyFont="1" applyFill="1" applyBorder="1"/>
    <xf numFmtId="0" fontId="15" fillId="0" borderId="6" xfId="0" applyFont="1" applyBorder="1" applyAlignment="1">
      <alignment horizontal="left" vertical="top" wrapText="1"/>
    </xf>
    <xf numFmtId="44" fontId="11" fillId="10" borderId="47" xfId="4" applyFont="1" applyFill="1" applyBorder="1" applyAlignment="1" applyProtection="1">
      <alignment horizontal="center" vertical="center"/>
    </xf>
    <xf numFmtId="44" fontId="11" fillId="10" borderId="51" xfId="4" applyFont="1" applyFill="1" applyBorder="1" applyAlignment="1" applyProtection="1">
      <alignment horizontal="center" vertical="center"/>
    </xf>
    <xf numFmtId="0" fontId="34" fillId="12" borderId="46" xfId="0" applyFont="1" applyFill="1" applyBorder="1" applyAlignment="1">
      <alignment horizontal="center"/>
    </xf>
    <xf numFmtId="0" fontId="39" fillId="0" borderId="8" xfId="11" applyFont="1" applyAlignment="1">
      <alignment horizontal="center" vertical="center"/>
    </xf>
    <xf numFmtId="0" fontId="39" fillId="0" borderId="8" xfId="11" applyFont="1" applyAlignment="1">
      <alignment horizontal="center"/>
    </xf>
    <xf numFmtId="0" fontId="12" fillId="0" borderId="0" xfId="0" applyFont="1" applyAlignment="1">
      <alignment horizontal="center"/>
    </xf>
    <xf numFmtId="164" fontId="34" fillId="13" borderId="52" xfId="0" applyNumberFormat="1" applyFont="1" applyFill="1" applyBorder="1" applyAlignment="1">
      <alignment horizontal="center" vertical="center"/>
    </xf>
    <xf numFmtId="164" fontId="34" fillId="13" borderId="46" xfId="0" applyNumberFormat="1" applyFont="1" applyFill="1" applyBorder="1" applyAlignment="1">
      <alignment horizontal="center" vertical="center"/>
    </xf>
    <xf numFmtId="0" fontId="34" fillId="12" borderId="46" xfId="0" applyFont="1" applyFill="1" applyBorder="1" applyAlignment="1">
      <alignment horizontal="center" vertical="center"/>
    </xf>
    <xf numFmtId="0" fontId="34" fillId="12" borderId="47" xfId="0" applyFont="1" applyFill="1" applyBorder="1" applyAlignment="1">
      <alignment horizontal="center" vertical="center"/>
    </xf>
    <xf numFmtId="0" fontId="34" fillId="12" borderId="45" xfId="0" applyFont="1" applyFill="1" applyBorder="1" applyAlignment="1">
      <alignment horizontal="center" vertical="center"/>
    </xf>
    <xf numFmtId="0" fontId="34" fillId="12" borderId="5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34" fillId="12" borderId="46" xfId="0" applyFont="1" applyFill="1" applyBorder="1" applyAlignment="1">
      <alignment horizontal="center" vertical="center" wrapText="1"/>
    </xf>
    <xf numFmtId="0" fontId="34" fillId="12" borderId="56" xfId="0" applyFont="1" applyFill="1" applyBorder="1" applyAlignment="1">
      <alignment horizontal="center"/>
    </xf>
    <xf numFmtId="0" fontId="34" fillId="12" borderId="57" xfId="0" applyFont="1" applyFill="1" applyBorder="1" applyAlignment="1">
      <alignment horizontal="center"/>
    </xf>
    <xf numFmtId="0" fontId="34" fillId="12" borderId="58" xfId="0" applyFont="1" applyFill="1" applyBorder="1" applyAlignment="1">
      <alignment horizontal="center"/>
    </xf>
    <xf numFmtId="0" fontId="34" fillId="12" borderId="49" xfId="0" applyFont="1" applyFill="1" applyBorder="1" applyAlignment="1">
      <alignment horizontal="center" vertical="center" wrapText="1"/>
    </xf>
    <xf numFmtId="0" fontId="34" fillId="12" borderId="52" xfId="0" applyFont="1" applyFill="1" applyBorder="1" applyAlignment="1">
      <alignment horizontal="center" vertical="center" wrapText="1"/>
    </xf>
    <xf numFmtId="44" fontId="11" fillId="10" borderId="46" xfId="4" applyFont="1" applyFill="1" applyBorder="1" applyAlignment="1" applyProtection="1">
      <alignment horizontal="center" vertical="center"/>
    </xf>
    <xf numFmtId="0" fontId="34" fillId="10" borderId="46" xfId="0" applyFont="1" applyFill="1" applyBorder="1" applyAlignment="1">
      <alignment horizontal="center" vertical="center"/>
    </xf>
    <xf numFmtId="0" fontId="34" fillId="11" borderId="46" xfId="0" applyFont="1" applyFill="1" applyBorder="1" applyAlignment="1">
      <alignment horizontal="center" vertical="center"/>
    </xf>
    <xf numFmtId="164" fontId="11" fillId="10" borderId="46" xfId="0" applyNumberFormat="1" applyFont="1" applyFill="1" applyBorder="1" applyAlignment="1">
      <alignment horizontal="center" vertical="center" wrapText="1"/>
    </xf>
    <xf numFmtId="0" fontId="34" fillId="12" borderId="42" xfId="0" applyFont="1" applyFill="1" applyBorder="1" applyAlignment="1">
      <alignment horizontal="center"/>
    </xf>
    <xf numFmtId="0" fontId="12" fillId="11" borderId="43" xfId="0" applyFont="1" applyFill="1" applyBorder="1"/>
    <xf numFmtId="0" fontId="12" fillId="11" borderId="50" xfId="0" applyFont="1" applyFill="1" applyBorder="1"/>
    <xf numFmtId="0" fontId="11" fillId="10" borderId="46" xfId="0" applyFont="1" applyFill="1" applyBorder="1" applyAlignment="1">
      <alignment horizontal="center" vertical="center"/>
    </xf>
    <xf numFmtId="176" fontId="11" fillId="10" borderId="49" xfId="0" applyNumberFormat="1" applyFont="1" applyFill="1" applyBorder="1" applyAlignment="1">
      <alignment horizontal="center" vertical="center"/>
    </xf>
    <xf numFmtId="176" fontId="11" fillId="10" borderId="52" xfId="0" applyNumberFormat="1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10" fontId="11" fillId="0" borderId="46" xfId="4" applyNumberFormat="1" applyFont="1" applyBorder="1" applyAlignment="1">
      <alignment horizontal="center" vertical="center"/>
    </xf>
    <xf numFmtId="0" fontId="12" fillId="0" borderId="49" xfId="2" applyFont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2" fontId="11" fillId="0" borderId="47" xfId="0" applyNumberFormat="1" applyFont="1" applyBorder="1" applyAlignment="1">
      <alignment horizontal="right"/>
    </xf>
    <xf numFmtId="2" fontId="11" fillId="0" borderId="51" xfId="0" applyNumberFormat="1" applyFont="1" applyBorder="1" applyAlignment="1">
      <alignment horizontal="right"/>
    </xf>
    <xf numFmtId="0" fontId="13" fillId="5" borderId="11" xfId="0" applyFont="1" applyFill="1" applyBorder="1" applyAlignment="1">
      <alignment horizontal="left" wrapText="1"/>
    </xf>
    <xf numFmtId="0" fontId="13" fillId="5" borderId="44" xfId="0" applyFont="1" applyFill="1" applyBorder="1" applyAlignment="1">
      <alignment horizontal="left" wrapText="1"/>
    </xf>
    <xf numFmtId="0" fontId="13" fillId="5" borderId="13" xfId="0" applyFont="1" applyFill="1" applyBorder="1" applyAlignment="1">
      <alignment horizontal="left" wrapText="1"/>
    </xf>
    <xf numFmtId="0" fontId="13" fillId="15" borderId="6" xfId="0" applyFont="1" applyFill="1" applyBorder="1" applyAlignment="1">
      <alignment horizontal="left" vertical="top" wrapText="1"/>
    </xf>
    <xf numFmtId="0" fontId="14" fillId="15" borderId="9" xfId="0" applyFont="1" applyFill="1" applyBorder="1"/>
    <xf numFmtId="0" fontId="14" fillId="15" borderId="7" xfId="0" applyFont="1" applyFill="1" applyBorder="1"/>
    <xf numFmtId="0" fontId="43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43" fillId="3" borderId="11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4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wrapText="1"/>
    </xf>
    <xf numFmtId="0" fontId="13" fillId="0" borderId="44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43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center"/>
    </xf>
    <xf numFmtId="0" fontId="3" fillId="0" borderId="22" xfId="0" applyFont="1" applyBorder="1"/>
    <xf numFmtId="0" fontId="15" fillId="12" borderId="47" xfId="0" applyFont="1" applyFill="1" applyBorder="1" applyAlignment="1">
      <alignment horizontal="center"/>
    </xf>
    <xf numFmtId="0" fontId="15" fillId="12" borderId="45" xfId="0" applyFont="1" applyFill="1" applyBorder="1" applyAlignment="1">
      <alignment horizontal="center"/>
    </xf>
    <xf numFmtId="0" fontId="15" fillId="12" borderId="51" xfId="0" applyFont="1" applyFill="1" applyBorder="1" applyAlignment="1">
      <alignment horizontal="center"/>
    </xf>
    <xf numFmtId="43" fontId="13" fillId="0" borderId="47" xfId="0" applyNumberFormat="1" applyFont="1" applyBorder="1" applyAlignment="1">
      <alignment horizontal="center"/>
    </xf>
    <xf numFmtId="43" fontId="13" fillId="0" borderId="51" xfId="0" applyNumberFormat="1" applyFont="1" applyBorder="1" applyAlignment="1">
      <alignment horizontal="center"/>
    </xf>
    <xf numFmtId="0" fontId="15" fillId="12" borderId="47" xfId="0" applyFont="1" applyFill="1" applyBorder="1" applyAlignment="1">
      <alignment horizontal="center" vertical="center"/>
    </xf>
    <xf numFmtId="0" fontId="15" fillId="12" borderId="45" xfId="0" applyFont="1" applyFill="1" applyBorder="1" applyAlignment="1">
      <alignment horizontal="center" vertical="center"/>
    </xf>
    <xf numFmtId="0" fontId="15" fillId="12" borderId="51" xfId="0" applyFont="1" applyFill="1" applyBorder="1" applyAlignment="1">
      <alignment horizontal="center" vertical="center"/>
    </xf>
    <xf numFmtId="0" fontId="11" fillId="0" borderId="0" xfId="0" applyFont="1"/>
    <xf numFmtId="0" fontId="13" fillId="10" borderId="46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/>
    </xf>
    <xf numFmtId="44" fontId="15" fillId="0" borderId="46" xfId="4" applyFont="1" applyBorder="1" applyAlignment="1">
      <alignment horizontal="center"/>
    </xf>
    <xf numFmtId="0" fontId="15" fillId="12" borderId="42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vertical="center"/>
    </xf>
    <xf numFmtId="0" fontId="14" fillId="11" borderId="50" xfId="0" applyFont="1" applyFill="1" applyBorder="1" applyAlignment="1">
      <alignment vertical="center"/>
    </xf>
    <xf numFmtId="0" fontId="15" fillId="12" borderId="4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top" wrapText="1"/>
    </xf>
    <xf numFmtId="0" fontId="37" fillId="0" borderId="48" xfId="0" applyFont="1" applyBorder="1" applyAlignment="1">
      <alignment horizontal="left" vertical="center" wrapText="1"/>
    </xf>
  </cellXfs>
  <cellStyles count="12">
    <cellStyle name="Moeda" xfId="4" builtinId="4"/>
    <cellStyle name="Moeda 2" xfId="6"/>
    <cellStyle name="Normal" xfId="0" builtinId="0"/>
    <cellStyle name="Normal 2" xfId="2"/>
    <cellStyle name="Normal 2 2" xfId="9"/>
    <cellStyle name="Normal 2 3 4 2" xfId="8"/>
    <cellStyle name="Normal 3" xfId="1"/>
    <cellStyle name="Normal 4" xfId="5"/>
    <cellStyle name="Normal 5" xfId="11"/>
    <cellStyle name="Porcentagem" xfId="10" builtinId="5"/>
    <cellStyle name="Porcentagem 2" xfId="7"/>
    <cellStyle name="Vírgula 2" xfId="3"/>
  </cellStyles>
  <dxfs count="0"/>
  <tableStyles count="0" defaultTableStyle="TableStyleMedium2" defaultPivotStyle="PivotStyleLight16"/>
  <colors>
    <mruColors>
      <color rgb="FFE1F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s%20compartilhados\Recursos%20Humanos\1%20GEST&#195;O%20DE%20PESSOAS\FISCALIZA&#199;&#195;O%20DE%20CONTRATOS\LICITA&#199;&#195;O%20servi&#231;os%20terceirizados\Planilha%20produtividade%20-%20LIMPEZA%20COPEIRAGEM%20RECEP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pção"/>
      <sheetName val="Limpeza"/>
      <sheetName val="Copeiragem"/>
      <sheetName val="Uniformes OK"/>
      <sheetName val="Materiais  Recepção OK"/>
      <sheetName val="Materiais  Copeiragem OK"/>
      <sheetName val="Materiais Limpeza OK"/>
      <sheetName val="Equip. Limpeza OK"/>
      <sheetName val="Produtividade Limpeza OK"/>
      <sheetName val="Planilha de Limites MPDG OK"/>
      <sheetName val="Outros Órgãos OK"/>
      <sheetName val="Resumo de Custos"/>
      <sheetName val="Dados - Não mex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B14">
            <v>42.85</v>
          </cell>
        </row>
      </sheetData>
      <sheetData sheetId="8"/>
      <sheetData sheetId="9"/>
      <sheetData sheetId="10"/>
      <sheetData sheetId="11"/>
      <sheetData sheetId="12">
        <row r="1">
          <cell r="A1" t="str">
            <v>Serviços</v>
          </cell>
        </row>
        <row r="2">
          <cell r="A2" t="str">
            <v>Copeiragem</v>
          </cell>
        </row>
        <row r="3">
          <cell r="A3" t="str">
            <v>Limpeza</v>
          </cell>
        </row>
        <row r="4">
          <cell r="A4" t="str">
            <v>Recepção</v>
          </cell>
        </row>
        <row r="5">
          <cell r="A5" t="str">
            <v>Serviços Gerais</v>
          </cell>
        </row>
        <row r="6">
          <cell r="A6" t="str">
            <v>Jardinagem</v>
          </cell>
        </row>
        <row r="7">
          <cell r="A7" t="str">
            <v>Manutenção Predial</v>
          </cell>
        </row>
        <row r="8">
          <cell r="A8" t="str">
            <v>Manutenção Predial e de Jardins</v>
          </cell>
        </row>
        <row r="9">
          <cell r="A9" t="str">
            <v>Agente de Portaria</v>
          </cell>
        </row>
        <row r="10">
          <cell r="A10" t="str">
            <v>Manutenção de Ar Condicionado</v>
          </cell>
        </row>
        <row r="11">
          <cell r="A11" t="str">
            <v>Manutenção de Elevador</v>
          </cell>
        </row>
        <row r="12">
          <cell r="A12" t="str">
            <v>Condução de Veículos</v>
          </cell>
        </row>
        <row r="13">
          <cell r="A13" t="str">
            <v>Limpeza e Copeiragem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2"/>
  <sheetViews>
    <sheetView showGridLines="0" tabSelected="1" zoomScale="115" zoomScaleNormal="115" workbookViewId="0">
      <selection activeCell="C11" sqref="C11"/>
    </sheetView>
  </sheetViews>
  <sheetFormatPr defaultColWidth="0" defaultRowHeight="0" customHeight="1" zeroHeight="1"/>
  <cols>
    <col min="1" max="1" width="9.42578125" customWidth="1"/>
    <col min="2" max="2" width="56.7109375" customWidth="1"/>
    <col min="3" max="3" width="9.140625" customWidth="1"/>
    <col min="4" max="4" width="17.28515625" customWidth="1"/>
    <col min="5" max="5" width="13" customWidth="1"/>
    <col min="6" max="6" width="19.42578125" customWidth="1"/>
    <col min="7" max="7" width="23.140625" customWidth="1"/>
    <col min="8" max="8" width="3.28515625" customWidth="1"/>
    <col min="9" max="9" width="23.42578125" hidden="1" customWidth="1"/>
    <col min="10" max="12" width="9.140625" hidden="1" customWidth="1"/>
    <col min="13" max="27" width="8.7109375" hidden="1" customWidth="1"/>
    <col min="28" max="16383" width="14.42578125" hidden="1"/>
    <col min="16384" max="16384" width="1.85546875" hidden="1" customWidth="1"/>
  </cols>
  <sheetData>
    <row r="1" spans="1:26" ht="12.75" customHeight="1" thickBot="1">
      <c r="A1" s="290" t="s">
        <v>393</v>
      </c>
      <c r="B1" s="291"/>
      <c r="C1" s="291"/>
      <c r="D1" s="291"/>
      <c r="E1" s="291"/>
      <c r="F1" s="291"/>
      <c r="G1" s="292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thickBot="1">
      <c r="A2" s="290" t="s">
        <v>264</v>
      </c>
      <c r="B2" s="291"/>
      <c r="C2" s="291"/>
      <c r="D2" s="291"/>
      <c r="E2" s="291"/>
      <c r="F2" s="291"/>
      <c r="G2" s="29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9.25" customHeight="1">
      <c r="A3" s="178" t="s">
        <v>126</v>
      </c>
      <c r="B3" s="178" t="s">
        <v>276</v>
      </c>
      <c r="C3" s="178" t="s">
        <v>274</v>
      </c>
      <c r="D3" s="178" t="s">
        <v>275</v>
      </c>
      <c r="E3" s="178" t="s">
        <v>277</v>
      </c>
      <c r="F3" s="178" t="s">
        <v>127</v>
      </c>
      <c r="G3" s="178" t="s">
        <v>299</v>
      </c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0.25" customHeight="1">
      <c r="A4" s="177">
        <v>1</v>
      </c>
      <c r="B4" s="259" t="s">
        <v>320</v>
      </c>
      <c r="C4" s="177">
        <v>25194</v>
      </c>
      <c r="D4" s="179" t="s">
        <v>205</v>
      </c>
      <c r="E4" s="241">
        <f>'Produtividade Serventes'!I43</f>
        <v>6753</v>
      </c>
      <c r="F4" s="242">
        <f>'Produtividade Serventes'!I46</f>
        <v>65853.509999999995</v>
      </c>
      <c r="G4" s="242">
        <f>F4*12</f>
        <v>790242.11999999988</v>
      </c>
      <c r="H4" s="6"/>
      <c r="I4" s="6"/>
      <c r="J4" s="6"/>
      <c r="K4" s="6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9.25" customHeight="1">
      <c r="A5" s="177">
        <v>2</v>
      </c>
      <c r="B5" s="259" t="s">
        <v>321</v>
      </c>
      <c r="C5" s="177">
        <v>25194</v>
      </c>
      <c r="D5" s="245" t="s">
        <v>347</v>
      </c>
      <c r="E5" s="241">
        <v>1</v>
      </c>
      <c r="F5" s="242">
        <f>'ENCARREGADO Servente de limpeza'!H143</f>
        <v>8168.17</v>
      </c>
      <c r="G5" s="242">
        <f>F5*12</f>
        <v>98018.040000000008</v>
      </c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>
      <c r="A6" s="293" t="s">
        <v>278</v>
      </c>
      <c r="B6" s="293"/>
      <c r="C6" s="293"/>
      <c r="D6" s="293"/>
      <c r="E6" s="293"/>
      <c r="F6" s="180">
        <f>SUM(F4:F5)</f>
        <v>74021.679999999993</v>
      </c>
      <c r="G6" s="180">
        <f>ROUND(SUM(G4:G5),2)</f>
        <v>888260.16</v>
      </c>
      <c r="H6" s="5"/>
      <c r="I6" s="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1.25" customHeight="1" thickBot="1">
      <c r="B8" s="5"/>
      <c r="C8" s="5"/>
      <c r="D8" s="5"/>
      <c r="E8" s="5"/>
      <c r="F8" s="8"/>
      <c r="G8" s="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thickBot="1">
      <c r="A9" s="290" t="s">
        <v>346</v>
      </c>
      <c r="B9" s="291"/>
      <c r="C9" s="291"/>
      <c r="D9" s="291"/>
      <c r="E9" s="291"/>
      <c r="F9" s="291"/>
      <c r="G9" s="29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9.25" customHeight="1">
      <c r="A10" s="178" t="s">
        <v>126</v>
      </c>
      <c r="B10" s="178" t="s">
        <v>276</v>
      </c>
      <c r="C10" s="178" t="s">
        <v>274</v>
      </c>
      <c r="D10" s="178" t="s">
        <v>275</v>
      </c>
      <c r="E10" s="178" t="s">
        <v>406</v>
      </c>
      <c r="F10" s="178" t="s">
        <v>127</v>
      </c>
      <c r="G10" s="178" t="s">
        <v>299</v>
      </c>
      <c r="H10" s="6"/>
      <c r="I10" s="6"/>
      <c r="J10" s="6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63.75">
      <c r="A11" s="177">
        <v>3</v>
      </c>
      <c r="B11" s="259" t="s">
        <v>378</v>
      </c>
      <c r="C11" s="177">
        <v>23647</v>
      </c>
      <c r="D11" s="179" t="s">
        <v>405</v>
      </c>
      <c r="E11" s="241">
        <v>2</v>
      </c>
      <c r="F11" s="242">
        <f>('Vigilante DIURNO'!H142)*E11</f>
        <v>14830.98</v>
      </c>
      <c r="G11" s="242">
        <f>F11*12</f>
        <v>177971.76</v>
      </c>
      <c r="H11" s="6"/>
      <c r="I11" s="6"/>
      <c r="J11" s="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3.75">
      <c r="A12" s="177">
        <v>4</v>
      </c>
      <c r="B12" s="259" t="s">
        <v>379</v>
      </c>
      <c r="C12" s="177">
        <v>23957</v>
      </c>
      <c r="D12" s="245" t="s">
        <v>405</v>
      </c>
      <c r="E12" s="241">
        <v>2</v>
      </c>
      <c r="F12" s="242">
        <f>('Vigilante NOTURNO'!H142)*E12</f>
        <v>17531.66</v>
      </c>
      <c r="G12" s="242">
        <f>F12*12</f>
        <v>210379.91999999998</v>
      </c>
      <c r="H12" s="6"/>
      <c r="I12" s="6"/>
      <c r="J12" s="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>
      <c r="A13" s="293" t="s">
        <v>380</v>
      </c>
      <c r="B13" s="293"/>
      <c r="C13" s="293"/>
      <c r="D13" s="293"/>
      <c r="E13" s="293"/>
      <c r="F13" s="180">
        <f>SUM(F11:F12)</f>
        <v>32362.639999999999</v>
      </c>
      <c r="G13" s="180">
        <f>ROUND(SUM(G11:G12),2)</f>
        <v>388351.68</v>
      </c>
      <c r="H13" s="5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1.25" customHeight="1">
      <c r="B14" s="5"/>
      <c r="C14" s="5"/>
      <c r="D14" s="5"/>
      <c r="E14" s="5"/>
      <c r="F14" s="8"/>
      <c r="G14" s="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>
      <c r="A15" s="288" t="s">
        <v>407</v>
      </c>
      <c r="B15" s="289"/>
      <c r="C15" s="289"/>
      <c r="D15" s="289"/>
      <c r="E15" s="289"/>
      <c r="F15" s="287">
        <f>F6+F13</f>
        <v>106384.31999999999</v>
      </c>
      <c r="G15" s="180">
        <f>G6+G13</f>
        <v>1276611.8400000001</v>
      </c>
      <c r="H15" s="5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1.25" customHeight="1">
      <c r="B16" s="5"/>
      <c r="C16" s="5"/>
      <c r="D16" s="5"/>
      <c r="E16" s="5"/>
      <c r="F16" s="8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ht="11.25" customHeight="1">
      <c r="B17" s="5"/>
      <c r="C17" s="5"/>
      <c r="D17" s="5"/>
      <c r="E17" s="5"/>
      <c r="F17" s="8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ht="11.25" customHeight="1">
      <c r="B18" s="5"/>
      <c r="C18" s="5"/>
      <c r="D18" s="5"/>
      <c r="E18" s="5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ht="11.25" customHeight="1">
      <c r="B19" s="5"/>
      <c r="C19" s="5"/>
      <c r="D19" s="5"/>
      <c r="E19" s="5"/>
      <c r="F19" s="8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ht="11.25" customHeight="1">
      <c r="B20" s="5"/>
      <c r="C20" s="5"/>
      <c r="D20" s="5"/>
      <c r="E20" s="5"/>
      <c r="F20" s="8"/>
      <c r="G20" s="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ht="11.25" customHeight="1">
      <c r="B21" s="5"/>
      <c r="C21" s="5"/>
      <c r="D21" s="5"/>
      <c r="E21" s="5"/>
      <c r="F21" s="8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ht="11.25" customHeight="1">
      <c r="B22" s="5"/>
      <c r="C22" s="5"/>
      <c r="D22" s="5"/>
      <c r="E22" s="5"/>
      <c r="F22" s="8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ht="11.25" customHeight="1">
      <c r="B23" s="5"/>
      <c r="C23" s="5"/>
      <c r="D23" s="5"/>
      <c r="E23" s="5"/>
      <c r="F23" s="8"/>
      <c r="G23" s="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ht="11.25" customHeight="1">
      <c r="B24" s="5"/>
      <c r="C24" s="5"/>
      <c r="D24" s="5"/>
      <c r="E24" s="5"/>
      <c r="F24" s="8"/>
      <c r="G24" s="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ht="11.25" customHeight="1">
      <c r="B25" s="5"/>
      <c r="C25" s="5"/>
      <c r="D25" s="5"/>
      <c r="E25" s="5"/>
      <c r="F25" s="8"/>
      <c r="G25" s="8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ht="11.25" customHeight="1">
      <c r="B26" s="5"/>
      <c r="C26" s="5"/>
      <c r="D26" s="5"/>
      <c r="E26" s="5"/>
      <c r="F26" s="8"/>
      <c r="G26" s="8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ht="11.25" customHeight="1">
      <c r="B27" s="5"/>
      <c r="C27" s="5"/>
      <c r="D27" s="5"/>
      <c r="E27" s="5"/>
      <c r="F27" s="8"/>
      <c r="G27" s="8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ht="11.25" customHeight="1">
      <c r="B28" s="5"/>
      <c r="C28" s="5"/>
      <c r="D28" s="5"/>
      <c r="E28" s="5"/>
      <c r="F28" s="8"/>
      <c r="G28" s="8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ht="11.25" customHeight="1">
      <c r="B29" s="5"/>
      <c r="C29" s="5"/>
      <c r="D29" s="5"/>
      <c r="E29" s="5"/>
      <c r="F29" s="8"/>
      <c r="G29" s="8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ht="11.25" customHeight="1">
      <c r="B30" s="5"/>
      <c r="C30" s="5"/>
      <c r="D30" s="5"/>
      <c r="E30" s="5"/>
      <c r="F30" s="8"/>
      <c r="G30" s="8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ht="11.25" customHeight="1">
      <c r="B31" s="5"/>
      <c r="C31" s="5"/>
      <c r="D31" s="5"/>
      <c r="E31" s="5"/>
      <c r="F31" s="8"/>
      <c r="G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ht="11.25" customHeight="1">
      <c r="B32" s="5"/>
      <c r="C32" s="5"/>
      <c r="D32" s="5"/>
      <c r="E32" s="5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ht="11.25" customHeight="1">
      <c r="B33" s="5"/>
      <c r="C33" s="5"/>
      <c r="D33" s="5"/>
      <c r="E33" s="5"/>
      <c r="F33" s="8"/>
      <c r="G33" s="8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ht="11.25" customHeight="1">
      <c r="B34" s="5"/>
      <c r="C34" s="5"/>
      <c r="D34" s="5"/>
      <c r="E34" s="5"/>
      <c r="F34" s="8"/>
      <c r="G34" s="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ht="11.25" customHeight="1">
      <c r="B35" s="5"/>
      <c r="C35" s="5"/>
      <c r="D35" s="5"/>
      <c r="E35" s="5"/>
      <c r="F35" s="8"/>
      <c r="G35" s="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ht="11.25" customHeight="1">
      <c r="B36" s="5"/>
      <c r="C36" s="5"/>
      <c r="D36" s="5"/>
      <c r="E36" s="5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ht="11.25" customHeight="1">
      <c r="B37" s="5"/>
      <c r="C37" s="5"/>
      <c r="D37" s="5"/>
      <c r="E37" s="5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ht="11.25" customHeight="1">
      <c r="B38" s="5"/>
      <c r="C38" s="5"/>
      <c r="D38" s="5"/>
      <c r="E38" s="5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ht="11.25" customHeight="1">
      <c r="B39" s="5"/>
      <c r="C39" s="5"/>
      <c r="D39" s="5"/>
      <c r="E39" s="5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ht="11.25" customHeight="1">
      <c r="B40" s="5"/>
      <c r="C40" s="5"/>
      <c r="D40" s="5"/>
      <c r="E40" s="5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ht="11.25" customHeight="1">
      <c r="B41" s="5"/>
      <c r="C41" s="5"/>
      <c r="D41" s="5"/>
      <c r="E41" s="5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ht="11.25" customHeight="1">
      <c r="B42" s="5"/>
      <c r="C42" s="5"/>
      <c r="D42" s="5"/>
      <c r="E42" s="5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ht="11.25" customHeight="1">
      <c r="B43" s="5"/>
      <c r="C43" s="5"/>
      <c r="D43" s="5"/>
      <c r="E43" s="5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ht="11.25" customHeight="1">
      <c r="B44" s="5"/>
      <c r="C44" s="5"/>
      <c r="D44" s="5"/>
      <c r="E44" s="5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ht="11.25" customHeight="1">
      <c r="B45" s="5"/>
      <c r="C45" s="5"/>
      <c r="D45" s="5"/>
      <c r="E45" s="5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ht="11.25" customHeight="1">
      <c r="B46" s="5"/>
      <c r="C46" s="5"/>
      <c r="D46" s="5"/>
      <c r="E46" s="5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ht="11.25" customHeight="1">
      <c r="B47" s="5"/>
      <c r="C47" s="5"/>
      <c r="D47" s="5"/>
      <c r="E47" s="5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26" ht="11.25" customHeight="1">
      <c r="B48" s="5"/>
      <c r="C48" s="5"/>
      <c r="D48" s="5"/>
      <c r="E48" s="5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2:26" ht="11.25" customHeight="1">
      <c r="B49" s="5"/>
      <c r="C49" s="5"/>
      <c r="D49" s="5"/>
      <c r="E49" s="5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ht="11.25" customHeight="1">
      <c r="B50" s="5"/>
      <c r="C50" s="5"/>
      <c r="D50" s="5"/>
      <c r="E50" s="5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ht="11.25" customHeight="1">
      <c r="B51" s="5"/>
      <c r="C51" s="5"/>
      <c r="D51" s="5"/>
      <c r="E51" s="5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ht="11.25" customHeight="1">
      <c r="B52" s="5"/>
      <c r="C52" s="5"/>
      <c r="D52" s="5"/>
      <c r="E52" s="5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ht="11.25" customHeight="1">
      <c r="B53" s="5"/>
      <c r="C53" s="5"/>
      <c r="D53" s="5"/>
      <c r="E53" s="5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ht="11.25" customHeight="1">
      <c r="B54" s="5"/>
      <c r="C54" s="5"/>
      <c r="D54" s="5"/>
      <c r="E54" s="5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ht="11.25" customHeight="1">
      <c r="B55" s="5"/>
      <c r="C55" s="5"/>
      <c r="D55" s="5"/>
      <c r="E55" s="5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2:26" ht="11.25" customHeight="1">
      <c r="B56" s="5"/>
      <c r="C56" s="5"/>
      <c r="D56" s="5"/>
      <c r="E56" s="5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2:26" ht="11.25" customHeight="1">
      <c r="B57" s="5"/>
      <c r="C57" s="5"/>
      <c r="D57" s="5"/>
      <c r="E57" s="5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 ht="11.25" customHeight="1">
      <c r="B58" s="5"/>
      <c r="C58" s="5"/>
      <c r="D58" s="5"/>
      <c r="E58" s="5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2:26" ht="11.25" customHeight="1">
      <c r="B59" s="5"/>
      <c r="C59" s="5"/>
      <c r="D59" s="5"/>
      <c r="E59" s="5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2:26" ht="11.25" customHeight="1">
      <c r="B60" s="5"/>
      <c r="C60" s="5"/>
      <c r="D60" s="5"/>
      <c r="E60" s="5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ht="11.25" customHeight="1">
      <c r="B61" s="5"/>
      <c r="C61" s="5"/>
      <c r="D61" s="5"/>
      <c r="E61" s="5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2:26" ht="11.25" customHeight="1">
      <c r="B62" s="5"/>
      <c r="C62" s="5"/>
      <c r="D62" s="5"/>
      <c r="E62" s="5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2:26" ht="11.25" customHeight="1">
      <c r="B63" s="5"/>
      <c r="C63" s="5"/>
      <c r="D63" s="5"/>
      <c r="E63" s="5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2:26" ht="11.25" customHeight="1">
      <c r="B64" s="5"/>
      <c r="C64" s="5"/>
      <c r="D64" s="5"/>
      <c r="E64" s="5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2:26" ht="11.25" customHeight="1">
      <c r="B65" s="5"/>
      <c r="C65" s="5"/>
      <c r="D65" s="5"/>
      <c r="E65" s="5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2:26" ht="11.25" customHeight="1">
      <c r="B66" s="5"/>
      <c r="C66" s="5"/>
      <c r="D66" s="5"/>
      <c r="E66" s="5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2:26" ht="11.25" customHeight="1">
      <c r="B67" s="5"/>
      <c r="C67" s="5"/>
      <c r="D67" s="5"/>
      <c r="E67" s="5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2:26" ht="11.25" customHeight="1">
      <c r="B68" s="5"/>
      <c r="C68" s="5"/>
      <c r="D68" s="5"/>
      <c r="E68" s="5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2:26" ht="11.25" customHeight="1">
      <c r="B69" s="5"/>
      <c r="C69" s="5"/>
      <c r="D69" s="5"/>
      <c r="E69" s="5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2:26" ht="11.25" customHeight="1">
      <c r="B70" s="5"/>
      <c r="C70" s="5"/>
      <c r="D70" s="5"/>
      <c r="E70" s="5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2:26" ht="11.25" customHeight="1">
      <c r="B71" s="5"/>
      <c r="C71" s="5"/>
      <c r="D71" s="5"/>
      <c r="E71" s="5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2:26" ht="11.25" customHeight="1">
      <c r="B72" s="5"/>
      <c r="C72" s="5"/>
      <c r="D72" s="5"/>
      <c r="E72" s="5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2:26" ht="11.25" customHeight="1">
      <c r="B73" s="5"/>
      <c r="C73" s="5"/>
      <c r="D73" s="5"/>
      <c r="E73" s="5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2:26" ht="11.25" customHeight="1">
      <c r="B74" s="5"/>
      <c r="C74" s="5"/>
      <c r="D74" s="5"/>
      <c r="E74" s="5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2:26" ht="11.25" customHeight="1">
      <c r="B75" s="5"/>
      <c r="C75" s="5"/>
      <c r="D75" s="5"/>
      <c r="E75" s="5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2:26" ht="11.25" customHeight="1">
      <c r="B76" s="5"/>
      <c r="C76" s="5"/>
      <c r="D76" s="5"/>
      <c r="E76" s="5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2:26" ht="11.25" customHeight="1">
      <c r="B77" s="5"/>
      <c r="C77" s="5"/>
      <c r="D77" s="5"/>
      <c r="E77" s="5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2:26" ht="11.25" customHeight="1">
      <c r="B78" s="5"/>
      <c r="C78" s="5"/>
      <c r="D78" s="5"/>
      <c r="E78" s="5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2:26" ht="11.25" customHeight="1">
      <c r="B79" s="5"/>
      <c r="C79" s="5"/>
      <c r="D79" s="5"/>
      <c r="E79" s="5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2:26" ht="11.25" customHeight="1">
      <c r="B80" s="5"/>
      <c r="C80" s="5"/>
      <c r="D80" s="5"/>
      <c r="E80" s="5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2:26" ht="11.25" customHeight="1">
      <c r="B81" s="5"/>
      <c r="C81" s="5"/>
      <c r="D81" s="5"/>
      <c r="E81" s="5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2:26" ht="11.25" customHeight="1">
      <c r="B82" s="5"/>
      <c r="C82" s="5"/>
      <c r="D82" s="5"/>
      <c r="E82" s="5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2:26" ht="11.25" customHeight="1">
      <c r="B83" s="5"/>
      <c r="C83" s="5"/>
      <c r="D83" s="5"/>
      <c r="E83" s="5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2:26" ht="11.25" customHeight="1">
      <c r="B84" s="5"/>
      <c r="C84" s="5"/>
      <c r="D84" s="5"/>
      <c r="E84" s="5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2:26" ht="11.25" customHeight="1">
      <c r="B85" s="5"/>
      <c r="C85" s="5"/>
      <c r="D85" s="5"/>
      <c r="E85" s="5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2:26" ht="11.25" customHeight="1">
      <c r="B86" s="5"/>
      <c r="C86" s="5"/>
      <c r="D86" s="5"/>
      <c r="E86" s="5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2:26" ht="11.25" customHeight="1">
      <c r="B87" s="5"/>
      <c r="C87" s="5"/>
      <c r="D87" s="5"/>
      <c r="E87" s="5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2:26" ht="11.25" customHeight="1">
      <c r="B88" s="5"/>
      <c r="C88" s="5"/>
      <c r="D88" s="5"/>
      <c r="E88" s="5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2:26" ht="11.25" customHeight="1">
      <c r="B89" s="5"/>
      <c r="C89" s="5"/>
      <c r="D89" s="5"/>
      <c r="E89" s="5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2:26" ht="11.25" customHeight="1">
      <c r="B90" s="5"/>
      <c r="C90" s="5"/>
      <c r="D90" s="5"/>
      <c r="E90" s="5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2:26" ht="11.25" customHeight="1">
      <c r="B91" s="5"/>
      <c r="C91" s="5"/>
      <c r="D91" s="5"/>
      <c r="E91" s="5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2:26" ht="11.25" customHeight="1">
      <c r="B92" s="5"/>
      <c r="C92" s="5"/>
      <c r="D92" s="5"/>
      <c r="E92" s="5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2:26" ht="11.25" customHeight="1">
      <c r="B93" s="5"/>
      <c r="C93" s="5"/>
      <c r="D93" s="5"/>
      <c r="E93" s="5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2:26" ht="11.25" customHeight="1">
      <c r="B94" s="5"/>
      <c r="C94" s="5"/>
      <c r="D94" s="5"/>
      <c r="E94" s="5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2:26" ht="11.25" customHeight="1">
      <c r="B95" s="5"/>
      <c r="C95" s="5"/>
      <c r="D95" s="5"/>
      <c r="E95" s="5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2:26" ht="11.25" customHeight="1">
      <c r="B96" s="5"/>
      <c r="C96" s="5"/>
      <c r="D96" s="5"/>
      <c r="E96" s="5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2:26" ht="11.25" customHeight="1">
      <c r="B97" s="5"/>
      <c r="C97" s="5"/>
      <c r="D97" s="5"/>
      <c r="E97" s="5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2:26" ht="11.25" customHeight="1">
      <c r="B98" s="5"/>
      <c r="C98" s="5"/>
      <c r="D98" s="5"/>
      <c r="E98" s="5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2:26" ht="11.25" customHeight="1">
      <c r="B99" s="5"/>
      <c r="C99" s="5"/>
      <c r="D99" s="5"/>
      <c r="E99" s="5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2:26" ht="11.25" customHeight="1">
      <c r="B100" s="5"/>
      <c r="C100" s="5"/>
      <c r="D100" s="5"/>
      <c r="E100" s="5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2:26" ht="11.25" customHeight="1">
      <c r="B101" s="5"/>
      <c r="C101" s="5"/>
      <c r="D101" s="5"/>
      <c r="E101" s="5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2:26" ht="11.25" customHeight="1">
      <c r="B102" s="5"/>
      <c r="C102" s="5"/>
      <c r="D102" s="5"/>
      <c r="E102" s="5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2:26" ht="11.25" customHeight="1">
      <c r="B103" s="5"/>
      <c r="C103" s="5"/>
      <c r="D103" s="5"/>
      <c r="E103" s="5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2:26" ht="11.25" customHeight="1">
      <c r="B104" s="5"/>
      <c r="C104" s="5"/>
      <c r="D104" s="5"/>
      <c r="E104" s="5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2:26" ht="11.25" customHeight="1">
      <c r="B105" s="5"/>
      <c r="C105" s="5"/>
      <c r="D105" s="5"/>
      <c r="E105" s="5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2:26" ht="11.25" customHeight="1">
      <c r="B106" s="5"/>
      <c r="C106" s="5"/>
      <c r="D106" s="5"/>
      <c r="E106" s="5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2:26" ht="11.25" customHeight="1">
      <c r="B107" s="5"/>
      <c r="C107" s="5"/>
      <c r="D107" s="5"/>
      <c r="E107" s="5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2:26" ht="11.25" customHeight="1">
      <c r="B108" s="5"/>
      <c r="C108" s="5"/>
      <c r="D108" s="5"/>
      <c r="E108" s="5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2:26" ht="11.25" customHeight="1">
      <c r="B109" s="5"/>
      <c r="C109" s="5"/>
      <c r="D109" s="5"/>
      <c r="E109" s="5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2:26" ht="11.25" customHeight="1">
      <c r="B110" s="5"/>
      <c r="C110" s="5"/>
      <c r="D110" s="5"/>
      <c r="E110" s="5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2:26" ht="11.25" customHeight="1">
      <c r="B111" s="5"/>
      <c r="C111" s="5"/>
      <c r="D111" s="5"/>
      <c r="E111" s="5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2:26" ht="11.25" customHeight="1">
      <c r="B112" s="5"/>
      <c r="C112" s="5"/>
      <c r="D112" s="5"/>
      <c r="E112" s="5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2:26" ht="11.25" customHeight="1">
      <c r="B113" s="5"/>
      <c r="C113" s="5"/>
      <c r="D113" s="5"/>
      <c r="E113" s="5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2:26" ht="11.25" customHeight="1">
      <c r="B114" s="5"/>
      <c r="C114" s="5"/>
      <c r="D114" s="5"/>
      <c r="E114" s="5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2:26" ht="11.25" customHeight="1">
      <c r="B115" s="5"/>
      <c r="C115" s="5"/>
      <c r="D115" s="5"/>
      <c r="E115" s="5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2:26" ht="11.25" customHeight="1">
      <c r="B116" s="5"/>
      <c r="C116" s="5"/>
      <c r="D116" s="5"/>
      <c r="E116" s="5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2:26" ht="11.25" customHeight="1">
      <c r="B117" s="5"/>
      <c r="C117" s="5"/>
      <c r="D117" s="5"/>
      <c r="E117" s="5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2:26" ht="11.25" customHeight="1">
      <c r="B118" s="5"/>
      <c r="C118" s="5"/>
      <c r="D118" s="5"/>
      <c r="E118" s="5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2:26" ht="11.25" customHeight="1">
      <c r="B119" s="5"/>
      <c r="C119" s="5"/>
      <c r="D119" s="5"/>
      <c r="E119" s="5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2:26" ht="11.25" customHeight="1">
      <c r="B120" s="5"/>
      <c r="C120" s="5"/>
      <c r="D120" s="5"/>
      <c r="E120" s="5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2:26" ht="11.25" customHeight="1">
      <c r="B121" s="5"/>
      <c r="C121" s="5"/>
      <c r="D121" s="5"/>
      <c r="E121" s="5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2:26" ht="11.25" customHeight="1">
      <c r="B122" s="5"/>
      <c r="C122" s="5"/>
      <c r="D122" s="5"/>
      <c r="E122" s="5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2:26" ht="11.25" customHeight="1">
      <c r="B123" s="5"/>
      <c r="C123" s="5"/>
      <c r="D123" s="5"/>
      <c r="E123" s="5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2:26" ht="11.25" customHeight="1">
      <c r="B124" s="5"/>
      <c r="C124" s="5"/>
      <c r="D124" s="5"/>
      <c r="E124" s="5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2:26" ht="11.25" customHeight="1">
      <c r="B125" s="5"/>
      <c r="C125" s="5"/>
      <c r="D125" s="5"/>
      <c r="E125" s="5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2:26" ht="11.25" customHeight="1">
      <c r="B126" s="5"/>
      <c r="C126" s="5"/>
      <c r="D126" s="5"/>
      <c r="E126" s="5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2:26" ht="11.25" customHeight="1">
      <c r="B127" s="5"/>
      <c r="C127" s="5"/>
      <c r="D127" s="5"/>
      <c r="E127" s="5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2:26" ht="11.25" customHeight="1">
      <c r="B128" s="5"/>
      <c r="C128" s="5"/>
      <c r="D128" s="5"/>
      <c r="E128" s="5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2:26" ht="11.25" customHeight="1">
      <c r="B129" s="5"/>
      <c r="C129" s="5"/>
      <c r="D129" s="5"/>
      <c r="E129" s="5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2:26" ht="11.25" customHeight="1">
      <c r="B130" s="5"/>
      <c r="C130" s="5"/>
      <c r="D130" s="5"/>
      <c r="E130" s="5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2:26" ht="11.25" customHeight="1">
      <c r="B131" s="5"/>
      <c r="C131" s="5"/>
      <c r="D131" s="5"/>
      <c r="E131" s="5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2:26" ht="11.25" customHeight="1">
      <c r="B132" s="5"/>
      <c r="C132" s="5"/>
      <c r="D132" s="5"/>
      <c r="E132" s="5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2:26" ht="11.25" customHeight="1">
      <c r="B133" s="5"/>
      <c r="C133" s="5"/>
      <c r="D133" s="5"/>
      <c r="E133" s="5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2:26" ht="11.25" customHeight="1">
      <c r="B134" s="5"/>
      <c r="C134" s="5"/>
      <c r="D134" s="5"/>
      <c r="E134" s="5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2:26" ht="11.25" customHeight="1">
      <c r="B135" s="5"/>
      <c r="C135" s="5"/>
      <c r="D135" s="5"/>
      <c r="E135" s="5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2:26" ht="11.25" customHeight="1">
      <c r="B136" s="5"/>
      <c r="C136" s="5"/>
      <c r="D136" s="5"/>
      <c r="E136" s="5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2:26" ht="11.25" customHeight="1">
      <c r="B137" s="5"/>
      <c r="C137" s="5"/>
      <c r="D137" s="5"/>
      <c r="E137" s="5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2:26" ht="11.25" customHeight="1">
      <c r="B138" s="5"/>
      <c r="C138" s="5"/>
      <c r="D138" s="5"/>
      <c r="E138" s="5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2:26" ht="11.25" customHeight="1">
      <c r="B139" s="5"/>
      <c r="C139" s="5"/>
      <c r="D139" s="5"/>
      <c r="E139" s="5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2:26" ht="11.25" customHeight="1">
      <c r="B140" s="5"/>
      <c r="C140" s="5"/>
      <c r="D140" s="5"/>
      <c r="E140" s="5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2:26" ht="11.25" customHeight="1">
      <c r="B141" s="5"/>
      <c r="C141" s="5"/>
      <c r="D141" s="5"/>
      <c r="E141" s="5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2:26" ht="11.25" customHeight="1">
      <c r="B142" s="5"/>
      <c r="C142" s="5"/>
      <c r="D142" s="5"/>
      <c r="E142" s="5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2:26" ht="11.25" customHeight="1">
      <c r="B143" s="5"/>
      <c r="C143" s="5"/>
      <c r="D143" s="5"/>
      <c r="E143" s="5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2:26" ht="11.25" customHeight="1">
      <c r="B144" s="5"/>
      <c r="C144" s="5"/>
      <c r="D144" s="5"/>
      <c r="E144" s="5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2:26" ht="11.25" customHeight="1">
      <c r="B145" s="5"/>
      <c r="C145" s="5"/>
      <c r="D145" s="5"/>
      <c r="E145" s="5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2:26" ht="11.25" customHeight="1">
      <c r="B146" s="5"/>
      <c r="C146" s="5"/>
      <c r="D146" s="5"/>
      <c r="E146" s="5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2:26" ht="11.25" customHeight="1">
      <c r="B147" s="5"/>
      <c r="C147" s="5"/>
      <c r="D147" s="5"/>
      <c r="E147" s="5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2:26" ht="11.25" customHeight="1">
      <c r="B148" s="5"/>
      <c r="C148" s="5"/>
      <c r="D148" s="5"/>
      <c r="E148" s="5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2:26" ht="11.25" customHeight="1">
      <c r="B149" s="5"/>
      <c r="C149" s="5"/>
      <c r="D149" s="5"/>
      <c r="E149" s="5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2:26" ht="11.25" customHeight="1">
      <c r="B150" s="5"/>
      <c r="C150" s="5"/>
      <c r="D150" s="5"/>
      <c r="E150" s="5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2:26" ht="11.25" customHeight="1">
      <c r="B151" s="5"/>
      <c r="C151" s="5"/>
      <c r="D151" s="5"/>
      <c r="E151" s="5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2:26" ht="11.25" customHeight="1">
      <c r="B152" s="5"/>
      <c r="C152" s="5"/>
      <c r="D152" s="5"/>
      <c r="E152" s="5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2:26" ht="11.25" customHeight="1">
      <c r="B153" s="5"/>
      <c r="C153" s="5"/>
      <c r="D153" s="5"/>
      <c r="E153" s="5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2:26" ht="11.25" customHeight="1">
      <c r="B154" s="5"/>
      <c r="C154" s="5"/>
      <c r="D154" s="5"/>
      <c r="E154" s="5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2:26" ht="11.25" customHeight="1">
      <c r="B155" s="5"/>
      <c r="C155" s="5"/>
      <c r="D155" s="5"/>
      <c r="E155" s="5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2:26" ht="11.25" customHeight="1">
      <c r="B156" s="5"/>
      <c r="C156" s="5"/>
      <c r="D156" s="5"/>
      <c r="E156" s="5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2:26" ht="11.25" customHeight="1">
      <c r="B157" s="5"/>
      <c r="C157" s="5"/>
      <c r="D157" s="5"/>
      <c r="E157" s="5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2:26" ht="11.25" customHeight="1">
      <c r="B158" s="5"/>
      <c r="C158" s="5"/>
      <c r="D158" s="5"/>
      <c r="E158" s="5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2:26" ht="11.25" customHeight="1">
      <c r="B159" s="5"/>
      <c r="C159" s="5"/>
      <c r="D159" s="5"/>
      <c r="E159" s="5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2:26" ht="11.25" customHeight="1">
      <c r="B160" s="5"/>
      <c r="C160" s="5"/>
      <c r="D160" s="5"/>
      <c r="E160" s="5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2:26" ht="11.25" customHeight="1">
      <c r="B161" s="5"/>
      <c r="C161" s="5"/>
      <c r="D161" s="5"/>
      <c r="E161" s="5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2:26" ht="11.25" customHeight="1">
      <c r="B162" s="5"/>
      <c r="C162" s="5"/>
      <c r="D162" s="5"/>
      <c r="E162" s="5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2:26" ht="11.25" customHeight="1">
      <c r="B163" s="5"/>
      <c r="C163" s="5"/>
      <c r="D163" s="5"/>
      <c r="E163" s="5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2:26" ht="11.25" customHeight="1">
      <c r="B164" s="5"/>
      <c r="C164" s="5"/>
      <c r="D164" s="5"/>
      <c r="E164" s="5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2:26" ht="11.25" customHeight="1">
      <c r="B165" s="5"/>
      <c r="C165" s="5"/>
      <c r="D165" s="5"/>
      <c r="E165" s="5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2:26" ht="11.25" customHeight="1">
      <c r="B166" s="5"/>
      <c r="C166" s="5"/>
      <c r="D166" s="5"/>
      <c r="E166" s="5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2:26" ht="11.25" customHeight="1">
      <c r="B167" s="5"/>
      <c r="C167" s="5"/>
      <c r="D167" s="5"/>
      <c r="E167" s="5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2:26" ht="11.25" customHeight="1">
      <c r="B168" s="5"/>
      <c r="C168" s="5"/>
      <c r="D168" s="5"/>
      <c r="E168" s="5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2:26" ht="11.25" customHeight="1">
      <c r="B169" s="5"/>
      <c r="C169" s="5"/>
      <c r="D169" s="5"/>
      <c r="E169" s="5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2:26" ht="11.25" customHeight="1">
      <c r="B170" s="5"/>
      <c r="C170" s="5"/>
      <c r="D170" s="5"/>
      <c r="E170" s="5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2:26" ht="11.25" customHeight="1">
      <c r="B171" s="5"/>
      <c r="C171" s="5"/>
      <c r="D171" s="5"/>
      <c r="E171" s="5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2:26" ht="11.25" customHeight="1">
      <c r="B172" s="5"/>
      <c r="C172" s="5"/>
      <c r="D172" s="5"/>
      <c r="E172" s="5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2:26" ht="11.25" customHeight="1">
      <c r="B173" s="5"/>
      <c r="C173" s="5"/>
      <c r="D173" s="5"/>
      <c r="E173" s="5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2:26" ht="11.25" customHeight="1">
      <c r="B174" s="5"/>
      <c r="C174" s="5"/>
      <c r="D174" s="5"/>
      <c r="E174" s="5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2:26" ht="11.25" customHeight="1">
      <c r="B175" s="5"/>
      <c r="C175" s="5"/>
      <c r="D175" s="5"/>
      <c r="E175" s="5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2:26" ht="11.25" customHeight="1">
      <c r="B176" s="5"/>
      <c r="C176" s="5"/>
      <c r="D176" s="5"/>
      <c r="E176" s="5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2:26" ht="11.25" customHeight="1">
      <c r="B177" s="5"/>
      <c r="C177" s="5"/>
      <c r="D177" s="5"/>
      <c r="E177" s="5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2:26" ht="11.25" customHeight="1">
      <c r="B178" s="5"/>
      <c r="C178" s="5"/>
      <c r="D178" s="5"/>
      <c r="E178" s="5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2:26" ht="11.25" customHeight="1">
      <c r="B179" s="5"/>
      <c r="C179" s="5"/>
      <c r="D179" s="5"/>
      <c r="E179" s="5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2:26" ht="11.25" customHeight="1">
      <c r="B180" s="5"/>
      <c r="C180" s="5"/>
      <c r="D180" s="5"/>
      <c r="E180" s="5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2:26" ht="11.25" customHeight="1">
      <c r="B181" s="5"/>
      <c r="C181" s="5"/>
      <c r="D181" s="5"/>
      <c r="E181" s="5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2:26" ht="11.25" customHeight="1">
      <c r="B182" s="5"/>
      <c r="C182" s="5"/>
      <c r="D182" s="5"/>
      <c r="E182" s="5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2:26" ht="11.25" customHeight="1">
      <c r="B183" s="5"/>
      <c r="C183" s="5"/>
      <c r="D183" s="5"/>
      <c r="E183" s="5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2:26" ht="11.25" customHeight="1">
      <c r="B184" s="5"/>
      <c r="C184" s="5"/>
      <c r="D184" s="5"/>
      <c r="E184" s="5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2:26" ht="11.25" customHeight="1">
      <c r="B185" s="5"/>
      <c r="C185" s="5"/>
      <c r="D185" s="5"/>
      <c r="E185" s="5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2:26" ht="11.25" customHeight="1">
      <c r="B186" s="5"/>
      <c r="C186" s="5"/>
      <c r="D186" s="5"/>
      <c r="E186" s="5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2:26" ht="11.25" customHeight="1">
      <c r="B187" s="5"/>
      <c r="C187" s="5"/>
      <c r="D187" s="5"/>
      <c r="E187" s="5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2:26" ht="11.25" customHeight="1">
      <c r="B188" s="5"/>
      <c r="C188" s="5"/>
      <c r="D188" s="5"/>
      <c r="E188" s="5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2:26" ht="11.25" customHeight="1">
      <c r="B189" s="5"/>
      <c r="C189" s="5"/>
      <c r="D189" s="5"/>
      <c r="E189" s="5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2:26" ht="11.25" customHeight="1">
      <c r="B190" s="5"/>
      <c r="C190" s="5"/>
      <c r="D190" s="5"/>
      <c r="E190" s="5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2:26" ht="11.25" customHeight="1">
      <c r="B191" s="5"/>
      <c r="C191" s="5"/>
      <c r="D191" s="5"/>
      <c r="E191" s="5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2:26" ht="11.25" customHeight="1">
      <c r="B192" s="5"/>
      <c r="C192" s="5"/>
      <c r="D192" s="5"/>
      <c r="E192" s="5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2:26" ht="11.25" customHeight="1">
      <c r="B193" s="5"/>
      <c r="C193" s="5"/>
      <c r="D193" s="5"/>
      <c r="E193" s="5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2:26" ht="11.25" customHeight="1">
      <c r="B194" s="5"/>
      <c r="C194" s="5"/>
      <c r="D194" s="5"/>
      <c r="E194" s="5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2:26" ht="11.25" customHeight="1">
      <c r="B195" s="5"/>
      <c r="C195" s="5"/>
      <c r="D195" s="5"/>
      <c r="E195" s="5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2:26" ht="11.25" customHeight="1">
      <c r="B196" s="5"/>
      <c r="C196" s="5"/>
      <c r="D196" s="5"/>
      <c r="E196" s="5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2:26" ht="11.25" customHeight="1">
      <c r="B197" s="5"/>
      <c r="C197" s="5"/>
      <c r="D197" s="5"/>
      <c r="E197" s="5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2:26" ht="11.25" customHeight="1">
      <c r="B198" s="5"/>
      <c r="C198" s="5"/>
      <c r="D198" s="5"/>
      <c r="E198" s="5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2:26" ht="11.25" customHeight="1">
      <c r="B199" s="5"/>
      <c r="C199" s="5"/>
      <c r="D199" s="5"/>
      <c r="E199" s="5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2:26" ht="11.25" customHeight="1">
      <c r="B200" s="5"/>
      <c r="C200" s="5"/>
      <c r="D200" s="5"/>
      <c r="E200" s="5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2:26" ht="11.25" customHeight="1">
      <c r="B201" s="5"/>
      <c r="C201" s="5"/>
      <c r="D201" s="5"/>
      <c r="E201" s="5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2:26" ht="11.25" customHeight="1">
      <c r="B202" s="5"/>
      <c r="C202" s="5"/>
      <c r="D202" s="5"/>
      <c r="E202" s="5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2:26" ht="11.25" customHeight="1">
      <c r="B203" s="5"/>
      <c r="C203" s="5"/>
      <c r="D203" s="5"/>
      <c r="E203" s="5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2:26" ht="11.25" customHeight="1">
      <c r="B204" s="5"/>
      <c r="C204" s="5"/>
      <c r="D204" s="5"/>
      <c r="E204" s="5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2:26" ht="11.25" customHeight="1">
      <c r="B205" s="5"/>
      <c r="C205" s="5"/>
      <c r="D205" s="5"/>
      <c r="E205" s="5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2:26" ht="11.25" customHeight="1">
      <c r="B206" s="5"/>
      <c r="C206" s="5"/>
      <c r="D206" s="5"/>
      <c r="E206" s="5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2:26" ht="11.25" customHeight="1">
      <c r="B207" s="5"/>
      <c r="C207" s="5"/>
      <c r="D207" s="5"/>
      <c r="E207" s="5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2:26" ht="11.25" customHeight="1">
      <c r="B208" s="5"/>
      <c r="C208" s="5"/>
      <c r="D208" s="5"/>
      <c r="E208" s="5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2:26" ht="11.25" customHeight="1">
      <c r="B209" s="5"/>
      <c r="C209" s="5"/>
      <c r="D209" s="5"/>
      <c r="E209" s="5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2:26" ht="11.25" customHeight="1">
      <c r="B210" s="5"/>
      <c r="C210" s="5"/>
      <c r="D210" s="5"/>
      <c r="E210" s="5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2:26" ht="11.25" customHeight="1">
      <c r="B211" s="5"/>
      <c r="C211" s="5"/>
      <c r="D211" s="5"/>
      <c r="E211" s="5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2:26" ht="11.25" customHeight="1">
      <c r="B212" s="5"/>
      <c r="C212" s="5"/>
      <c r="D212" s="5"/>
      <c r="E212" s="5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2:26" ht="11.25" customHeight="1">
      <c r="B213" s="5"/>
      <c r="C213" s="5"/>
      <c r="D213" s="5"/>
      <c r="E213" s="5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2:26" ht="11.25" customHeight="1">
      <c r="B214" s="5"/>
      <c r="C214" s="5"/>
      <c r="D214" s="5"/>
      <c r="E214" s="5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2:26" ht="11.25" customHeight="1">
      <c r="B215" s="5"/>
      <c r="C215" s="5"/>
      <c r="D215" s="5"/>
      <c r="E215" s="5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2:26" ht="11.25" customHeight="1">
      <c r="B216" s="5"/>
      <c r="C216" s="5"/>
      <c r="D216" s="5"/>
      <c r="E216" s="5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2:26" ht="11.25" customHeight="1">
      <c r="B217" s="5"/>
      <c r="C217" s="5"/>
      <c r="D217" s="5"/>
      <c r="E217" s="5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2:26" ht="11.25" customHeight="1">
      <c r="B218" s="5"/>
      <c r="C218" s="5"/>
      <c r="D218" s="5"/>
      <c r="E218" s="5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2:26" ht="11.25" customHeight="1">
      <c r="B219" s="5"/>
      <c r="C219" s="5"/>
      <c r="D219" s="5"/>
      <c r="E219" s="5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2:26" ht="11.25" customHeight="1">
      <c r="B220" s="5"/>
      <c r="C220" s="5"/>
      <c r="D220" s="5"/>
      <c r="E220" s="5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2:26" ht="11.25" customHeight="1">
      <c r="B221" s="5"/>
      <c r="C221" s="5"/>
      <c r="D221" s="5"/>
      <c r="E221" s="5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2:26" ht="11.25" customHeight="1">
      <c r="B222" s="5"/>
      <c r="C222" s="5"/>
      <c r="D222" s="5"/>
      <c r="E222" s="5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2:26" ht="11.25" customHeight="1">
      <c r="B223" s="5"/>
      <c r="C223" s="5"/>
      <c r="D223" s="5"/>
      <c r="E223" s="5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2:26" ht="11.25" customHeight="1">
      <c r="B224" s="5"/>
      <c r="C224" s="5"/>
      <c r="D224" s="5"/>
      <c r="E224" s="5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2:26" ht="11.25" customHeight="1">
      <c r="B225" s="5"/>
      <c r="C225" s="5"/>
      <c r="D225" s="5"/>
      <c r="E225" s="5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2:26" ht="11.25" customHeight="1">
      <c r="B226" s="5"/>
      <c r="C226" s="5"/>
      <c r="D226" s="5"/>
      <c r="E226" s="5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2:26" ht="11.25" customHeight="1">
      <c r="B227" s="5"/>
      <c r="C227" s="5"/>
      <c r="D227" s="5"/>
      <c r="E227" s="5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2:26" ht="11.25" customHeight="1">
      <c r="B228" s="5"/>
      <c r="C228" s="5"/>
      <c r="D228" s="5"/>
      <c r="E228" s="5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2:26" ht="11.25" customHeight="1">
      <c r="B229" s="5"/>
      <c r="C229" s="5"/>
      <c r="D229" s="5"/>
      <c r="E229" s="5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2:26" ht="11.25" customHeight="1">
      <c r="B230" s="5"/>
      <c r="C230" s="5"/>
      <c r="D230" s="5"/>
      <c r="E230" s="5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2:26" ht="11.25" customHeight="1">
      <c r="B231" s="5"/>
      <c r="C231" s="5"/>
      <c r="D231" s="5"/>
      <c r="E231" s="5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2:26" ht="11.25" customHeight="1">
      <c r="B232" s="5"/>
      <c r="C232" s="5"/>
      <c r="D232" s="5"/>
      <c r="E232" s="5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2:26" ht="11.25" customHeight="1">
      <c r="B233" s="5"/>
      <c r="C233" s="5"/>
      <c r="D233" s="5"/>
      <c r="E233" s="5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2:26" ht="11.25" customHeight="1">
      <c r="B234" s="5"/>
      <c r="C234" s="5"/>
      <c r="D234" s="5"/>
      <c r="E234" s="5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2:26" ht="11.25" customHeight="1">
      <c r="B235" s="5"/>
      <c r="C235" s="5"/>
      <c r="D235" s="5"/>
      <c r="E235" s="5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2:26" ht="11.25" customHeight="1">
      <c r="B236" s="5"/>
      <c r="C236" s="5"/>
      <c r="D236" s="5"/>
      <c r="E236" s="5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2:26" ht="11.25" customHeight="1">
      <c r="B237" s="5"/>
      <c r="C237" s="5"/>
      <c r="D237" s="5"/>
      <c r="E237" s="5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2:26" ht="11.25" customHeight="1">
      <c r="B238" s="5"/>
      <c r="C238" s="5"/>
      <c r="D238" s="5"/>
      <c r="E238" s="5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2:26" ht="11.25" customHeight="1">
      <c r="B239" s="5"/>
      <c r="C239" s="5"/>
      <c r="D239" s="5"/>
      <c r="E239" s="5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2:26" ht="11.25" customHeight="1">
      <c r="B240" s="5"/>
      <c r="C240" s="5"/>
      <c r="D240" s="5"/>
      <c r="E240" s="5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2:26" ht="11.25" customHeight="1">
      <c r="B241" s="5"/>
      <c r="C241" s="5"/>
      <c r="D241" s="5"/>
      <c r="E241" s="5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2:26" ht="11.25" customHeight="1">
      <c r="B242" s="5"/>
      <c r="C242" s="5"/>
      <c r="D242" s="5"/>
      <c r="E242" s="5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2:26" ht="11.25" customHeight="1">
      <c r="B243" s="5"/>
      <c r="C243" s="5"/>
      <c r="D243" s="5"/>
      <c r="E243" s="5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2:26" ht="11.25" customHeight="1">
      <c r="B244" s="5"/>
      <c r="C244" s="5"/>
      <c r="D244" s="5"/>
      <c r="E244" s="5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2:26" ht="11.25" customHeight="1">
      <c r="B245" s="5"/>
      <c r="C245" s="5"/>
      <c r="D245" s="5"/>
      <c r="E245" s="5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2:26" ht="11.25" customHeight="1">
      <c r="B246" s="5"/>
      <c r="C246" s="5"/>
      <c r="D246" s="5"/>
      <c r="E246" s="5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2:26" ht="11.25" customHeight="1">
      <c r="B247" s="5"/>
      <c r="C247" s="5"/>
      <c r="D247" s="5"/>
      <c r="E247" s="5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2:26" ht="11.25" customHeight="1">
      <c r="B248" s="5"/>
      <c r="C248" s="5"/>
      <c r="D248" s="5"/>
      <c r="E248" s="5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2:26" ht="11.25" customHeight="1">
      <c r="B249" s="5"/>
      <c r="C249" s="5"/>
      <c r="D249" s="5"/>
      <c r="E249" s="5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2:26" ht="11.25" customHeight="1">
      <c r="B250" s="5"/>
      <c r="C250" s="5"/>
      <c r="D250" s="5"/>
      <c r="E250" s="5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2:26" ht="11.25" customHeight="1">
      <c r="B251" s="5"/>
      <c r="C251" s="5"/>
      <c r="D251" s="5"/>
      <c r="E251" s="5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2:26" ht="11.25" customHeight="1">
      <c r="B252" s="5"/>
      <c r="C252" s="5"/>
      <c r="D252" s="5"/>
      <c r="E252" s="5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2:26" ht="11.25" customHeight="1">
      <c r="B253" s="5"/>
      <c r="C253" s="5"/>
      <c r="D253" s="5"/>
      <c r="E253" s="5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2:26" ht="11.25" customHeight="1">
      <c r="B254" s="5"/>
      <c r="C254" s="5"/>
      <c r="D254" s="5"/>
      <c r="E254" s="5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2:26" ht="11.25" customHeight="1">
      <c r="B255" s="5"/>
      <c r="C255" s="5"/>
      <c r="D255" s="5"/>
      <c r="E255" s="5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2:26" ht="11.25" customHeight="1">
      <c r="B256" s="5"/>
      <c r="C256" s="5"/>
      <c r="D256" s="5"/>
      <c r="E256" s="5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2:26" ht="11.25" customHeight="1">
      <c r="B257" s="5"/>
      <c r="C257" s="5"/>
      <c r="D257" s="5"/>
      <c r="E257" s="5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2:26" ht="11.25" customHeight="1">
      <c r="B258" s="5"/>
      <c r="C258" s="5"/>
      <c r="D258" s="5"/>
      <c r="E258" s="5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2:26" ht="11.25" customHeight="1">
      <c r="B259" s="5"/>
      <c r="C259" s="5"/>
      <c r="D259" s="5"/>
      <c r="E259" s="5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2:26" ht="11.25" customHeight="1">
      <c r="B260" s="5"/>
      <c r="C260" s="5"/>
      <c r="D260" s="5"/>
      <c r="E260" s="5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2:26" ht="11.25" customHeight="1">
      <c r="B261" s="5"/>
      <c r="C261" s="5"/>
      <c r="D261" s="5"/>
      <c r="E261" s="5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2:26" ht="11.25" customHeight="1">
      <c r="B262" s="5"/>
      <c r="C262" s="5"/>
      <c r="D262" s="5"/>
      <c r="E262" s="5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2:26" ht="11.25" customHeight="1">
      <c r="B263" s="5"/>
      <c r="C263" s="5"/>
      <c r="D263" s="5"/>
      <c r="E263" s="5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2:26" ht="11.25" customHeight="1">
      <c r="B264" s="5"/>
      <c r="C264" s="5"/>
      <c r="D264" s="5"/>
      <c r="E264" s="5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2:26" ht="11.25" customHeight="1">
      <c r="B265" s="5"/>
      <c r="C265" s="5"/>
      <c r="D265" s="5"/>
      <c r="E265" s="5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2:26" ht="11.25" customHeight="1">
      <c r="B266" s="5"/>
      <c r="C266" s="5"/>
      <c r="D266" s="5"/>
      <c r="E266" s="5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2:26" ht="11.25" customHeight="1">
      <c r="B267" s="5"/>
      <c r="C267" s="5"/>
      <c r="D267" s="5"/>
      <c r="E267" s="5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2:26" ht="11.25" customHeight="1">
      <c r="B268" s="5"/>
      <c r="C268" s="5"/>
      <c r="D268" s="5"/>
      <c r="E268" s="5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2:26" ht="11.25" customHeight="1">
      <c r="B269" s="5"/>
      <c r="C269" s="5"/>
      <c r="D269" s="5"/>
      <c r="E269" s="5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2:26" ht="11.25" customHeight="1">
      <c r="B270" s="5"/>
      <c r="C270" s="5"/>
      <c r="D270" s="5"/>
      <c r="E270" s="5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2:26" ht="11.25" customHeight="1">
      <c r="B271" s="5"/>
      <c r="C271" s="5"/>
      <c r="D271" s="5"/>
      <c r="E271" s="5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2:26" ht="11.25" customHeight="1">
      <c r="B272" s="5"/>
      <c r="C272" s="5"/>
      <c r="D272" s="5"/>
      <c r="E272" s="5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2:26" ht="11.25" customHeight="1">
      <c r="B273" s="5"/>
      <c r="C273" s="5"/>
      <c r="D273" s="5"/>
      <c r="E273" s="5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2:26" ht="11.25" customHeight="1">
      <c r="B274" s="5"/>
      <c r="C274" s="5"/>
      <c r="D274" s="5"/>
      <c r="E274" s="5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2:26" ht="11.25" customHeight="1">
      <c r="B275" s="5"/>
      <c r="C275" s="5"/>
      <c r="D275" s="5"/>
      <c r="E275" s="5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2:26" ht="11.25" customHeight="1">
      <c r="B276" s="5"/>
      <c r="C276" s="5"/>
      <c r="D276" s="5"/>
      <c r="E276" s="5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2:26" ht="11.25" customHeight="1">
      <c r="B277" s="5"/>
      <c r="C277" s="5"/>
      <c r="D277" s="5"/>
      <c r="E277" s="5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2:26" ht="11.25" customHeight="1">
      <c r="B278" s="5"/>
      <c r="C278" s="5"/>
      <c r="D278" s="5"/>
      <c r="E278" s="5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2:26" ht="11.25" customHeight="1">
      <c r="B279" s="5"/>
      <c r="C279" s="5"/>
      <c r="D279" s="5"/>
      <c r="E279" s="5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2:26" ht="11.25" customHeight="1">
      <c r="B280" s="5"/>
      <c r="C280" s="5"/>
      <c r="D280" s="5"/>
      <c r="E280" s="5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2:26" ht="11.25" customHeight="1">
      <c r="B281" s="5"/>
      <c r="C281" s="5"/>
      <c r="D281" s="5"/>
      <c r="E281" s="5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2:26" ht="11.25" customHeight="1">
      <c r="B282" s="5"/>
      <c r="C282" s="5"/>
      <c r="D282" s="5"/>
      <c r="E282" s="5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2:26" ht="11.25" customHeight="1">
      <c r="B283" s="5"/>
      <c r="C283" s="5"/>
      <c r="D283" s="5"/>
      <c r="E283" s="5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2:26" ht="11.25" customHeight="1">
      <c r="B284" s="5"/>
      <c r="C284" s="5"/>
      <c r="D284" s="5"/>
      <c r="E284" s="5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2:26" ht="11.25" customHeight="1">
      <c r="B285" s="5"/>
      <c r="C285" s="5"/>
      <c r="D285" s="5"/>
      <c r="E285" s="5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2:26" ht="11.25" customHeight="1">
      <c r="B286" s="5"/>
      <c r="C286" s="5"/>
      <c r="D286" s="5"/>
      <c r="E286" s="5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2:26" ht="11.25" customHeight="1">
      <c r="B287" s="5"/>
      <c r="C287" s="5"/>
      <c r="D287" s="5"/>
      <c r="E287" s="5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2:26" ht="11.25" customHeight="1">
      <c r="B288" s="5"/>
      <c r="C288" s="5"/>
      <c r="D288" s="5"/>
      <c r="E288" s="5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2:26" ht="11.25" customHeight="1">
      <c r="B289" s="5"/>
      <c r="C289" s="5"/>
      <c r="D289" s="5"/>
      <c r="E289" s="5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2:26" ht="11.25" customHeight="1">
      <c r="B290" s="5"/>
      <c r="C290" s="5"/>
      <c r="D290" s="5"/>
      <c r="E290" s="5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2:26" ht="11.25" customHeight="1">
      <c r="B291" s="5"/>
      <c r="C291" s="5"/>
      <c r="D291" s="5"/>
      <c r="E291" s="5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2:26" ht="11.25" customHeight="1">
      <c r="B292" s="5"/>
      <c r="C292" s="5"/>
      <c r="D292" s="5"/>
      <c r="E292" s="5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2:26" ht="11.25" customHeight="1">
      <c r="B293" s="5"/>
      <c r="C293" s="5"/>
      <c r="D293" s="5"/>
      <c r="E293" s="5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2:26" ht="11.25" customHeight="1">
      <c r="B294" s="5"/>
      <c r="C294" s="5"/>
      <c r="D294" s="5"/>
      <c r="E294" s="5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2:26" ht="11.25" customHeight="1">
      <c r="B295" s="5"/>
      <c r="C295" s="5"/>
      <c r="D295" s="5"/>
      <c r="E295" s="5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2:26" ht="11.25" customHeight="1">
      <c r="B296" s="5"/>
      <c r="C296" s="5"/>
      <c r="D296" s="5"/>
      <c r="E296" s="5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2:26" ht="11.25" customHeight="1">
      <c r="B297" s="5"/>
      <c r="C297" s="5"/>
      <c r="D297" s="5"/>
      <c r="E297" s="5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2:26" ht="11.25" customHeight="1">
      <c r="B298" s="5"/>
      <c r="C298" s="5"/>
      <c r="D298" s="5"/>
      <c r="E298" s="5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2:26" ht="11.25" customHeight="1">
      <c r="B299" s="5"/>
      <c r="C299" s="5"/>
      <c r="D299" s="5"/>
      <c r="E299" s="5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2:26" ht="11.25" customHeight="1">
      <c r="B300" s="5"/>
      <c r="C300" s="5"/>
      <c r="D300" s="5"/>
      <c r="E300" s="5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2:26" ht="11.25" customHeight="1">
      <c r="B301" s="5"/>
      <c r="C301" s="5"/>
      <c r="D301" s="5"/>
      <c r="E301" s="5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2:26" ht="11.25" customHeight="1">
      <c r="B302" s="5"/>
      <c r="C302" s="5"/>
      <c r="D302" s="5"/>
      <c r="E302" s="5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2:26" ht="11.25" customHeight="1">
      <c r="B303" s="5"/>
      <c r="C303" s="5"/>
      <c r="D303" s="5"/>
      <c r="E303" s="5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2:26" ht="11.25" customHeight="1">
      <c r="B304" s="5"/>
      <c r="C304" s="5"/>
      <c r="D304" s="5"/>
      <c r="E304" s="5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2:26" ht="11.25" customHeight="1">
      <c r="B305" s="5"/>
      <c r="C305" s="5"/>
      <c r="D305" s="5"/>
      <c r="E305" s="5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2:26" ht="11.25" customHeight="1">
      <c r="B306" s="5"/>
      <c r="C306" s="5"/>
      <c r="D306" s="5"/>
      <c r="E306" s="5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2:26" ht="11.25" customHeight="1">
      <c r="B307" s="5"/>
      <c r="C307" s="5"/>
      <c r="D307" s="5"/>
      <c r="E307" s="5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2:26" ht="11.25" customHeight="1">
      <c r="B308" s="5"/>
      <c r="C308" s="5"/>
      <c r="D308" s="5"/>
      <c r="E308" s="5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2:26" ht="11.25" customHeight="1">
      <c r="B309" s="5"/>
      <c r="C309" s="5"/>
      <c r="D309" s="5"/>
      <c r="E309" s="5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2:26" ht="11.25" customHeight="1">
      <c r="B310" s="5"/>
      <c r="C310" s="5"/>
      <c r="D310" s="5"/>
      <c r="E310" s="5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2:26" ht="11.25" customHeight="1">
      <c r="B311" s="5"/>
      <c r="C311" s="5"/>
      <c r="D311" s="5"/>
      <c r="E311" s="5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2:26" ht="11.25" customHeight="1">
      <c r="B312" s="5"/>
      <c r="C312" s="5"/>
      <c r="D312" s="5"/>
      <c r="E312" s="5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2:26" ht="11.25" customHeight="1">
      <c r="B313" s="5"/>
      <c r="C313" s="5"/>
      <c r="D313" s="5"/>
      <c r="E313" s="5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2:26" ht="11.25" customHeight="1">
      <c r="B314" s="5"/>
      <c r="C314" s="5"/>
      <c r="D314" s="5"/>
      <c r="E314" s="5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2:26" ht="11.25" customHeight="1">
      <c r="B315" s="5"/>
      <c r="C315" s="5"/>
      <c r="D315" s="5"/>
      <c r="E315" s="5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2:26" ht="11.25" customHeight="1">
      <c r="B316" s="5"/>
      <c r="C316" s="5"/>
      <c r="D316" s="5"/>
      <c r="E316" s="5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2:26" ht="11.25" customHeight="1">
      <c r="B317" s="5"/>
      <c r="C317" s="5"/>
      <c r="D317" s="5"/>
      <c r="E317" s="5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2:26" ht="11.25" customHeight="1">
      <c r="B318" s="5"/>
      <c r="C318" s="5"/>
      <c r="D318" s="5"/>
      <c r="E318" s="5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2:26" ht="11.25" customHeight="1">
      <c r="B319" s="5"/>
      <c r="C319" s="5"/>
      <c r="D319" s="5"/>
      <c r="E319" s="5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2:26" ht="11.25" customHeight="1">
      <c r="B320" s="5"/>
      <c r="C320" s="5"/>
      <c r="D320" s="5"/>
      <c r="E320" s="5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2:26" ht="11.25" customHeight="1">
      <c r="B321" s="5"/>
      <c r="C321" s="5"/>
      <c r="D321" s="5"/>
      <c r="E321" s="5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2:26" ht="11.25" customHeight="1">
      <c r="B322" s="5"/>
      <c r="C322" s="5"/>
      <c r="D322" s="5"/>
      <c r="E322" s="5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2:26" ht="11.25" customHeight="1">
      <c r="B323" s="5"/>
      <c r="C323" s="5"/>
      <c r="D323" s="5"/>
      <c r="E323" s="5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2:26" ht="11.25" customHeight="1">
      <c r="B324" s="5"/>
      <c r="C324" s="5"/>
      <c r="D324" s="5"/>
      <c r="E324" s="5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2:26" ht="11.25" customHeight="1">
      <c r="B325" s="5"/>
      <c r="C325" s="5"/>
      <c r="D325" s="5"/>
      <c r="E325" s="5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2:26" ht="11.25" customHeight="1">
      <c r="B326" s="5"/>
      <c r="C326" s="5"/>
      <c r="D326" s="5"/>
      <c r="E326" s="5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2:26" ht="11.25" customHeight="1">
      <c r="B327" s="5"/>
      <c r="C327" s="5"/>
      <c r="D327" s="5"/>
      <c r="E327" s="5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2:26" ht="11.25" customHeight="1">
      <c r="B328" s="5"/>
      <c r="C328" s="5"/>
      <c r="D328" s="5"/>
      <c r="E328" s="5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2:26" ht="11.25" customHeight="1">
      <c r="B329" s="5"/>
      <c r="C329" s="5"/>
      <c r="D329" s="5"/>
      <c r="E329" s="5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2:26" ht="11.25" customHeight="1">
      <c r="B330" s="5"/>
      <c r="C330" s="5"/>
      <c r="D330" s="5"/>
      <c r="E330" s="5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2:26" ht="11.25" customHeight="1">
      <c r="B331" s="5"/>
      <c r="C331" s="5"/>
      <c r="D331" s="5"/>
      <c r="E331" s="5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2:26" ht="11.25" customHeight="1">
      <c r="B332" s="5"/>
      <c r="C332" s="5"/>
      <c r="D332" s="5"/>
      <c r="E332" s="5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2:26" ht="11.25" customHeight="1">
      <c r="B333" s="5"/>
      <c r="C333" s="5"/>
      <c r="D333" s="5"/>
      <c r="E333" s="5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2:26" ht="11.25" customHeight="1">
      <c r="B334" s="5"/>
      <c r="C334" s="5"/>
      <c r="D334" s="5"/>
      <c r="E334" s="5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2:26" ht="11.25" customHeight="1">
      <c r="B335" s="5"/>
      <c r="C335" s="5"/>
      <c r="D335" s="5"/>
      <c r="E335" s="5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2:26" ht="11.25" customHeight="1">
      <c r="B336" s="5"/>
      <c r="C336" s="5"/>
      <c r="D336" s="5"/>
      <c r="E336" s="5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2:26" ht="11.25" customHeight="1">
      <c r="B337" s="5"/>
      <c r="C337" s="5"/>
      <c r="D337" s="5"/>
      <c r="E337" s="5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2:26" ht="11.25" customHeight="1">
      <c r="B338" s="5"/>
      <c r="C338" s="5"/>
      <c r="D338" s="5"/>
      <c r="E338" s="5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2:26" ht="11.25" customHeight="1">
      <c r="B339" s="5"/>
      <c r="C339" s="5"/>
      <c r="D339" s="5"/>
      <c r="E339" s="5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2:26" ht="11.25" customHeight="1">
      <c r="B340" s="5"/>
      <c r="C340" s="5"/>
      <c r="D340" s="5"/>
      <c r="E340" s="5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2:26" ht="11.25" customHeight="1">
      <c r="B341" s="5"/>
      <c r="C341" s="5"/>
      <c r="D341" s="5"/>
      <c r="E341" s="5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2:26" ht="11.25" customHeight="1">
      <c r="B342" s="5"/>
      <c r="C342" s="5"/>
      <c r="D342" s="5"/>
      <c r="E342" s="5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2:26" ht="11.25" customHeight="1">
      <c r="B343" s="5"/>
      <c r="C343" s="5"/>
      <c r="D343" s="5"/>
      <c r="E343" s="5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2:26" ht="11.25" customHeight="1">
      <c r="B344" s="5"/>
      <c r="C344" s="5"/>
      <c r="D344" s="5"/>
      <c r="E344" s="5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2:26" ht="11.25" customHeight="1">
      <c r="B345" s="5"/>
      <c r="C345" s="5"/>
      <c r="D345" s="5"/>
      <c r="E345" s="5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2:26" ht="11.25" customHeight="1">
      <c r="B346" s="5"/>
      <c r="C346" s="5"/>
      <c r="D346" s="5"/>
      <c r="E346" s="5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2:26" ht="11.25" customHeight="1">
      <c r="B347" s="5"/>
      <c r="C347" s="5"/>
      <c r="D347" s="5"/>
      <c r="E347" s="5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2:26" ht="11.25" customHeight="1">
      <c r="B348" s="5"/>
      <c r="C348" s="5"/>
      <c r="D348" s="5"/>
      <c r="E348" s="5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2:26" ht="11.25" customHeight="1">
      <c r="B349" s="5"/>
      <c r="C349" s="5"/>
      <c r="D349" s="5"/>
      <c r="E349" s="5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2:26" ht="11.25" customHeight="1">
      <c r="B350" s="5"/>
      <c r="C350" s="5"/>
      <c r="D350" s="5"/>
      <c r="E350" s="5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2:26" ht="11.25" customHeight="1">
      <c r="B351" s="5"/>
      <c r="C351" s="5"/>
      <c r="D351" s="5"/>
      <c r="E351" s="5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2:26" ht="11.25" customHeight="1">
      <c r="B352" s="5"/>
      <c r="C352" s="5"/>
      <c r="D352" s="5"/>
      <c r="E352" s="5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2:26" ht="11.25" customHeight="1">
      <c r="B353" s="5"/>
      <c r="C353" s="5"/>
      <c r="D353" s="5"/>
      <c r="E353" s="5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2:26" ht="11.25" customHeight="1">
      <c r="B354" s="5"/>
      <c r="C354" s="5"/>
      <c r="D354" s="5"/>
      <c r="E354" s="5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2:26" ht="11.25" customHeight="1">
      <c r="B355" s="5"/>
      <c r="C355" s="5"/>
      <c r="D355" s="5"/>
      <c r="E355" s="5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2:26" ht="11.25" customHeight="1">
      <c r="B356" s="5"/>
      <c r="C356" s="5"/>
      <c r="D356" s="5"/>
      <c r="E356" s="5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2:26" ht="11.25" customHeight="1">
      <c r="B357" s="5"/>
      <c r="C357" s="5"/>
      <c r="D357" s="5"/>
      <c r="E357" s="5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2:26" ht="11.25" customHeight="1">
      <c r="B358" s="5"/>
      <c r="C358" s="5"/>
      <c r="D358" s="5"/>
      <c r="E358" s="5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2:26" ht="11.25" customHeight="1">
      <c r="B359" s="5"/>
      <c r="C359" s="5"/>
      <c r="D359" s="5"/>
      <c r="E359" s="5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2:26" ht="11.25" customHeight="1">
      <c r="B360" s="5"/>
      <c r="C360" s="5"/>
      <c r="D360" s="5"/>
      <c r="E360" s="5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2:26" ht="11.25" customHeight="1">
      <c r="B361" s="5"/>
      <c r="C361" s="5"/>
      <c r="D361" s="5"/>
      <c r="E361" s="5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2:26" ht="11.25" customHeight="1">
      <c r="B362" s="5"/>
      <c r="C362" s="5"/>
      <c r="D362" s="5"/>
      <c r="E362" s="5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2:26" ht="11.25" customHeight="1">
      <c r="B363" s="5"/>
      <c r="C363" s="5"/>
      <c r="D363" s="5"/>
      <c r="E363" s="5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2:26" ht="11.25" customHeight="1">
      <c r="B364" s="5"/>
      <c r="C364" s="5"/>
      <c r="D364" s="5"/>
      <c r="E364" s="5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2:26" ht="11.25" customHeight="1">
      <c r="B365" s="5"/>
      <c r="C365" s="5"/>
      <c r="D365" s="5"/>
      <c r="E365" s="5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2:26" ht="11.25" customHeight="1">
      <c r="B366" s="5"/>
      <c r="C366" s="5"/>
      <c r="D366" s="5"/>
      <c r="E366" s="5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2:26" ht="11.25" customHeight="1">
      <c r="B367" s="5"/>
      <c r="C367" s="5"/>
      <c r="D367" s="5"/>
      <c r="E367" s="5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2:26" ht="11.25" customHeight="1">
      <c r="B368" s="5"/>
      <c r="C368" s="5"/>
      <c r="D368" s="5"/>
      <c r="E368" s="5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2:26" ht="11.25" customHeight="1">
      <c r="B369" s="5"/>
      <c r="C369" s="5"/>
      <c r="D369" s="5"/>
      <c r="E369" s="5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2:26" ht="11.25" customHeight="1">
      <c r="B370" s="5"/>
      <c r="C370" s="5"/>
      <c r="D370" s="5"/>
      <c r="E370" s="5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2:26" ht="11.25" customHeight="1">
      <c r="B371" s="5"/>
      <c r="C371" s="5"/>
      <c r="D371" s="5"/>
      <c r="E371" s="5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2:26" ht="11.25" customHeight="1">
      <c r="B372" s="5"/>
      <c r="C372" s="5"/>
      <c r="D372" s="5"/>
      <c r="E372" s="5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2:26" ht="11.25" customHeight="1">
      <c r="B373" s="5"/>
      <c r="C373" s="5"/>
      <c r="D373" s="5"/>
      <c r="E373" s="5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2:26" ht="11.25" customHeight="1">
      <c r="B374" s="5"/>
      <c r="C374" s="5"/>
      <c r="D374" s="5"/>
      <c r="E374" s="5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2:26" ht="11.25" customHeight="1">
      <c r="B375" s="5"/>
      <c r="C375" s="5"/>
      <c r="D375" s="5"/>
      <c r="E375" s="5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2:26" ht="11.25" customHeight="1">
      <c r="B376" s="5"/>
      <c r="C376" s="5"/>
      <c r="D376" s="5"/>
      <c r="E376" s="5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2:26" ht="11.25" customHeight="1">
      <c r="B377" s="5"/>
      <c r="C377" s="5"/>
      <c r="D377" s="5"/>
      <c r="E377" s="5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2:26" ht="11.25" customHeight="1">
      <c r="B378" s="5"/>
      <c r="C378" s="5"/>
      <c r="D378" s="5"/>
      <c r="E378" s="5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2:26" ht="11.25" customHeight="1">
      <c r="B379" s="5"/>
      <c r="C379" s="5"/>
      <c r="D379" s="5"/>
      <c r="E379" s="5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2:26" ht="11.25" customHeight="1">
      <c r="B380" s="5"/>
      <c r="C380" s="5"/>
      <c r="D380" s="5"/>
      <c r="E380" s="5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2:26" ht="11.25" customHeight="1">
      <c r="B381" s="5"/>
      <c r="C381" s="5"/>
      <c r="D381" s="5"/>
      <c r="E381" s="5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2:26" ht="11.25" customHeight="1">
      <c r="B382" s="5"/>
      <c r="C382" s="5"/>
      <c r="D382" s="5"/>
      <c r="E382" s="5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2:26" ht="11.25" customHeight="1">
      <c r="B383" s="5"/>
      <c r="C383" s="5"/>
      <c r="D383" s="5"/>
      <c r="E383" s="5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2:26" ht="11.25" customHeight="1">
      <c r="B384" s="5"/>
      <c r="C384" s="5"/>
      <c r="D384" s="5"/>
      <c r="E384" s="5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2:26" ht="11.25" customHeight="1">
      <c r="B385" s="5"/>
      <c r="C385" s="5"/>
      <c r="D385" s="5"/>
      <c r="E385" s="5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2:26" ht="11.25" customHeight="1">
      <c r="B386" s="5"/>
      <c r="C386" s="5"/>
      <c r="D386" s="5"/>
      <c r="E386" s="5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2:26" ht="11.25" customHeight="1">
      <c r="B387" s="5"/>
      <c r="C387" s="5"/>
      <c r="D387" s="5"/>
      <c r="E387" s="5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2:26" ht="11.25" customHeight="1">
      <c r="B388" s="5"/>
      <c r="C388" s="5"/>
      <c r="D388" s="5"/>
      <c r="E388" s="5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2:26" ht="11.25" customHeight="1">
      <c r="B389" s="5"/>
      <c r="C389" s="5"/>
      <c r="D389" s="5"/>
      <c r="E389" s="5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2:26" ht="11.25" customHeight="1">
      <c r="B390" s="5"/>
      <c r="C390" s="5"/>
      <c r="D390" s="5"/>
      <c r="E390" s="5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2:26" ht="11.25" customHeight="1">
      <c r="B391" s="5"/>
      <c r="C391" s="5"/>
      <c r="D391" s="5"/>
      <c r="E391" s="5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2:26" ht="11.25" customHeight="1">
      <c r="B392" s="5"/>
      <c r="C392" s="5"/>
      <c r="D392" s="5"/>
      <c r="E392" s="5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2:26" ht="11.25" customHeight="1">
      <c r="B393" s="5"/>
      <c r="C393" s="5"/>
      <c r="D393" s="5"/>
      <c r="E393" s="5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2:26" ht="11.25" customHeight="1">
      <c r="B394" s="5"/>
      <c r="C394" s="5"/>
      <c r="D394" s="5"/>
      <c r="E394" s="5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2:26" ht="11.25" customHeight="1">
      <c r="B395" s="5"/>
      <c r="C395" s="5"/>
      <c r="D395" s="5"/>
      <c r="E395" s="5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2:26" ht="11.25" customHeight="1">
      <c r="B396" s="5"/>
      <c r="C396" s="5"/>
      <c r="D396" s="5"/>
      <c r="E396" s="5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2:26" ht="11.25" customHeight="1">
      <c r="B397" s="5"/>
      <c r="C397" s="5"/>
      <c r="D397" s="5"/>
      <c r="E397" s="5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2:26" ht="11.25" customHeight="1">
      <c r="B398" s="5"/>
      <c r="C398" s="5"/>
      <c r="D398" s="5"/>
      <c r="E398" s="5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2:26" ht="11.25" customHeight="1">
      <c r="B399" s="5"/>
      <c r="C399" s="5"/>
      <c r="D399" s="5"/>
      <c r="E399" s="5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2:26" ht="11.25" customHeight="1">
      <c r="B400" s="5"/>
      <c r="C400" s="5"/>
      <c r="D400" s="5"/>
      <c r="E400" s="5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2:26" ht="11.25" customHeight="1">
      <c r="B401" s="5"/>
      <c r="C401" s="5"/>
      <c r="D401" s="5"/>
      <c r="E401" s="5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2:26" ht="11.25" customHeight="1">
      <c r="B402" s="5"/>
      <c r="C402" s="5"/>
      <c r="D402" s="5"/>
      <c r="E402" s="5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2:26" ht="11.25" customHeight="1">
      <c r="B403" s="5"/>
      <c r="C403" s="5"/>
      <c r="D403" s="5"/>
      <c r="E403" s="5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2:26" ht="11.25" customHeight="1">
      <c r="B404" s="5"/>
      <c r="C404" s="5"/>
      <c r="D404" s="5"/>
      <c r="E404" s="5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2:26" ht="11.25" customHeight="1">
      <c r="B405" s="5"/>
      <c r="C405" s="5"/>
      <c r="D405" s="5"/>
      <c r="E405" s="5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2:26" ht="11.25" customHeight="1">
      <c r="B406" s="5"/>
      <c r="C406" s="5"/>
      <c r="D406" s="5"/>
      <c r="E406" s="5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2:26" ht="11.25" customHeight="1">
      <c r="B407" s="5"/>
      <c r="C407" s="5"/>
      <c r="D407" s="5"/>
      <c r="E407" s="5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2:26" ht="11.25" customHeight="1">
      <c r="B408" s="5"/>
      <c r="C408" s="5"/>
      <c r="D408" s="5"/>
      <c r="E408" s="5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2:26" ht="11.25" customHeight="1">
      <c r="B409" s="5"/>
      <c r="C409" s="5"/>
      <c r="D409" s="5"/>
      <c r="E409" s="5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2:26" ht="11.25" customHeight="1">
      <c r="B410" s="5"/>
      <c r="C410" s="5"/>
      <c r="D410" s="5"/>
      <c r="E410" s="5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2:26" ht="11.25" customHeight="1">
      <c r="B411" s="5"/>
      <c r="C411" s="5"/>
      <c r="D411" s="5"/>
      <c r="E411" s="5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2:26" ht="11.25" customHeight="1">
      <c r="B412" s="5"/>
      <c r="C412" s="5"/>
      <c r="D412" s="5"/>
      <c r="E412" s="5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2:26" ht="11.25" customHeight="1">
      <c r="B413" s="5"/>
      <c r="C413" s="5"/>
      <c r="D413" s="5"/>
      <c r="E413" s="5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2:26" ht="11.25" customHeight="1">
      <c r="B414" s="5"/>
      <c r="C414" s="5"/>
      <c r="D414" s="5"/>
      <c r="E414" s="5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2:26" ht="11.25" customHeight="1">
      <c r="B415" s="5"/>
      <c r="C415" s="5"/>
      <c r="D415" s="5"/>
      <c r="E415" s="5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2:26" ht="11.25" customHeight="1">
      <c r="B416" s="5"/>
      <c r="C416" s="5"/>
      <c r="D416" s="5"/>
      <c r="E416" s="5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2:26" ht="11.25" customHeight="1">
      <c r="B417" s="5"/>
      <c r="C417" s="5"/>
      <c r="D417" s="5"/>
      <c r="E417" s="5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2:26" ht="11.25" customHeight="1">
      <c r="B418" s="5"/>
      <c r="C418" s="5"/>
      <c r="D418" s="5"/>
      <c r="E418" s="5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2:26" ht="11.25" customHeight="1">
      <c r="B419" s="5"/>
      <c r="C419" s="5"/>
      <c r="D419" s="5"/>
      <c r="E419" s="5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2:26" ht="11.25" customHeight="1">
      <c r="B420" s="5"/>
      <c r="C420" s="5"/>
      <c r="D420" s="5"/>
      <c r="E420" s="5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2:26" ht="11.25" customHeight="1">
      <c r="B421" s="5"/>
      <c r="C421" s="5"/>
      <c r="D421" s="5"/>
      <c r="E421" s="5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2:26" ht="11.25" customHeight="1">
      <c r="B422" s="5"/>
      <c r="C422" s="5"/>
      <c r="D422" s="5"/>
      <c r="E422" s="5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2:26" ht="11.25" customHeight="1">
      <c r="B423" s="5"/>
      <c r="C423" s="5"/>
      <c r="D423" s="5"/>
      <c r="E423" s="5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2:26" ht="11.25" customHeight="1">
      <c r="B424" s="5"/>
      <c r="C424" s="5"/>
      <c r="D424" s="5"/>
      <c r="E424" s="5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2:26" ht="11.25" customHeight="1">
      <c r="B425" s="5"/>
      <c r="C425" s="5"/>
      <c r="D425" s="5"/>
      <c r="E425" s="5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2:26" ht="11.25" customHeight="1">
      <c r="B426" s="5"/>
      <c r="C426" s="5"/>
      <c r="D426" s="5"/>
      <c r="E426" s="5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2:26" ht="11.25" customHeight="1">
      <c r="B427" s="5"/>
      <c r="C427" s="5"/>
      <c r="D427" s="5"/>
      <c r="E427" s="5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2:26" ht="11.25" customHeight="1">
      <c r="B428" s="5"/>
      <c r="C428" s="5"/>
      <c r="D428" s="5"/>
      <c r="E428" s="5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2:26" ht="11.25" customHeight="1">
      <c r="B429" s="5"/>
      <c r="C429" s="5"/>
      <c r="D429" s="5"/>
      <c r="E429" s="5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2:26" ht="11.25" customHeight="1">
      <c r="B430" s="5"/>
      <c r="C430" s="5"/>
      <c r="D430" s="5"/>
      <c r="E430" s="5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2:26" ht="11.25" customHeight="1">
      <c r="B431" s="5"/>
      <c r="C431" s="5"/>
      <c r="D431" s="5"/>
      <c r="E431" s="5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2:26" ht="11.25" customHeight="1">
      <c r="B432" s="5"/>
      <c r="C432" s="5"/>
      <c r="D432" s="5"/>
      <c r="E432" s="5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2:26" ht="11.25" customHeight="1">
      <c r="B433" s="5"/>
      <c r="C433" s="5"/>
      <c r="D433" s="5"/>
      <c r="E433" s="5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2:26" ht="11.25" customHeight="1">
      <c r="B434" s="5"/>
      <c r="C434" s="5"/>
      <c r="D434" s="5"/>
      <c r="E434" s="5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2:26" ht="11.25" customHeight="1">
      <c r="B435" s="5"/>
      <c r="C435" s="5"/>
      <c r="D435" s="5"/>
      <c r="E435" s="5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2:26" ht="11.25" customHeight="1">
      <c r="B436" s="5"/>
      <c r="C436" s="5"/>
      <c r="D436" s="5"/>
      <c r="E436" s="5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2:26" ht="11.25" customHeight="1">
      <c r="B437" s="5"/>
      <c r="C437" s="5"/>
      <c r="D437" s="5"/>
      <c r="E437" s="5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2:26" ht="11.25" customHeight="1">
      <c r="B438" s="5"/>
      <c r="C438" s="5"/>
      <c r="D438" s="5"/>
      <c r="E438" s="5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2:26" ht="11.25" customHeight="1">
      <c r="B439" s="5"/>
      <c r="C439" s="5"/>
      <c r="D439" s="5"/>
      <c r="E439" s="5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2:26" ht="11.25" customHeight="1">
      <c r="B440" s="5"/>
      <c r="C440" s="5"/>
      <c r="D440" s="5"/>
      <c r="E440" s="5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2:26" ht="11.25" customHeight="1">
      <c r="B441" s="5"/>
      <c r="C441" s="5"/>
      <c r="D441" s="5"/>
      <c r="E441" s="5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2:26" ht="11.25" customHeight="1">
      <c r="B442" s="5"/>
      <c r="C442" s="5"/>
      <c r="D442" s="5"/>
      <c r="E442" s="5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2:26" ht="11.25" customHeight="1">
      <c r="B443" s="5"/>
      <c r="C443" s="5"/>
      <c r="D443" s="5"/>
      <c r="E443" s="5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2:26" ht="11.25" customHeight="1">
      <c r="B444" s="5"/>
      <c r="C444" s="5"/>
      <c r="D444" s="5"/>
      <c r="E444" s="5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2:26" ht="11.25" customHeight="1">
      <c r="B445" s="5"/>
      <c r="C445" s="5"/>
      <c r="D445" s="5"/>
      <c r="E445" s="5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2:26" ht="11.25" customHeight="1">
      <c r="B446" s="5"/>
      <c r="C446" s="5"/>
      <c r="D446" s="5"/>
      <c r="E446" s="5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2:26" ht="11.25" customHeight="1">
      <c r="B447" s="5"/>
      <c r="C447" s="5"/>
      <c r="D447" s="5"/>
      <c r="E447" s="5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2:26" ht="11.25" customHeight="1">
      <c r="B448" s="5"/>
      <c r="C448" s="5"/>
      <c r="D448" s="5"/>
      <c r="E448" s="5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2:26" ht="11.25" customHeight="1">
      <c r="B449" s="5"/>
      <c r="C449" s="5"/>
      <c r="D449" s="5"/>
      <c r="E449" s="5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2:26" ht="11.25" customHeight="1">
      <c r="B450" s="5"/>
      <c r="C450" s="5"/>
      <c r="D450" s="5"/>
      <c r="E450" s="5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2:26" ht="11.25" customHeight="1">
      <c r="B451" s="5"/>
      <c r="C451" s="5"/>
      <c r="D451" s="5"/>
      <c r="E451" s="5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2:26" ht="11.25" customHeight="1">
      <c r="B452" s="5"/>
      <c r="C452" s="5"/>
      <c r="D452" s="5"/>
      <c r="E452" s="5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2:26" ht="11.25" customHeight="1">
      <c r="B453" s="5"/>
      <c r="C453" s="5"/>
      <c r="D453" s="5"/>
      <c r="E453" s="5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2:26" ht="11.25" customHeight="1">
      <c r="B454" s="5"/>
      <c r="C454" s="5"/>
      <c r="D454" s="5"/>
      <c r="E454" s="5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2:26" ht="11.25" customHeight="1">
      <c r="B455" s="5"/>
      <c r="C455" s="5"/>
      <c r="D455" s="5"/>
      <c r="E455" s="5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2:26" ht="11.25" customHeight="1">
      <c r="B456" s="5"/>
      <c r="C456" s="5"/>
      <c r="D456" s="5"/>
      <c r="E456" s="5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2:26" ht="11.25" customHeight="1">
      <c r="B457" s="5"/>
      <c r="C457" s="5"/>
      <c r="D457" s="5"/>
      <c r="E457" s="5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2:26" ht="11.25" customHeight="1">
      <c r="B458" s="5"/>
      <c r="C458" s="5"/>
      <c r="D458" s="5"/>
      <c r="E458" s="5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2:26" ht="11.25" customHeight="1">
      <c r="B459" s="5"/>
      <c r="C459" s="5"/>
      <c r="D459" s="5"/>
      <c r="E459" s="5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2:26" ht="11.25" customHeight="1">
      <c r="B460" s="5"/>
      <c r="C460" s="5"/>
      <c r="D460" s="5"/>
      <c r="E460" s="5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2:26" ht="11.25" customHeight="1">
      <c r="B461" s="5"/>
      <c r="C461" s="5"/>
      <c r="D461" s="5"/>
      <c r="E461" s="5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2:26" ht="11.25" customHeight="1">
      <c r="B462" s="5"/>
      <c r="C462" s="5"/>
      <c r="D462" s="5"/>
      <c r="E462" s="5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2:26" ht="11.25" customHeight="1">
      <c r="B463" s="5"/>
      <c r="C463" s="5"/>
      <c r="D463" s="5"/>
      <c r="E463" s="5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2:26" ht="11.25" customHeight="1">
      <c r="B464" s="5"/>
      <c r="C464" s="5"/>
      <c r="D464" s="5"/>
      <c r="E464" s="5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2:26" ht="11.25" customHeight="1">
      <c r="B465" s="5"/>
      <c r="C465" s="5"/>
      <c r="D465" s="5"/>
      <c r="E465" s="5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2:26" ht="11.25" customHeight="1">
      <c r="B466" s="5"/>
      <c r="C466" s="5"/>
      <c r="D466" s="5"/>
      <c r="E466" s="5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2:26" ht="11.25" customHeight="1">
      <c r="B467" s="5"/>
      <c r="C467" s="5"/>
      <c r="D467" s="5"/>
      <c r="E467" s="5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2:26" ht="11.25" customHeight="1">
      <c r="B468" s="5"/>
      <c r="C468" s="5"/>
      <c r="D468" s="5"/>
      <c r="E468" s="5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2:26" ht="11.25" customHeight="1">
      <c r="B469" s="5"/>
      <c r="C469" s="5"/>
      <c r="D469" s="5"/>
      <c r="E469" s="5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2:26" ht="11.25" customHeight="1">
      <c r="B470" s="5"/>
      <c r="C470" s="5"/>
      <c r="D470" s="5"/>
      <c r="E470" s="5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2:26" ht="11.25" customHeight="1">
      <c r="B471" s="5"/>
      <c r="C471" s="5"/>
      <c r="D471" s="5"/>
      <c r="E471" s="5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2:26" ht="11.25" customHeight="1">
      <c r="B472" s="5"/>
      <c r="C472" s="5"/>
      <c r="D472" s="5"/>
      <c r="E472" s="5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2:26" ht="11.25" customHeight="1">
      <c r="B473" s="5"/>
      <c r="C473" s="5"/>
      <c r="D473" s="5"/>
      <c r="E473" s="5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2:26" ht="11.25" customHeight="1">
      <c r="B474" s="5"/>
      <c r="C474" s="5"/>
      <c r="D474" s="5"/>
      <c r="E474" s="5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2:26" ht="11.25" customHeight="1">
      <c r="B475" s="5"/>
      <c r="C475" s="5"/>
      <c r="D475" s="5"/>
      <c r="E475" s="5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2:26" ht="11.25" customHeight="1">
      <c r="B476" s="5"/>
      <c r="C476" s="5"/>
      <c r="D476" s="5"/>
      <c r="E476" s="5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2:26" ht="11.25" customHeight="1">
      <c r="B477" s="5"/>
      <c r="C477" s="5"/>
      <c r="D477" s="5"/>
      <c r="E477" s="5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2:26" ht="11.25" customHeight="1">
      <c r="B478" s="5"/>
      <c r="C478" s="5"/>
      <c r="D478" s="5"/>
      <c r="E478" s="5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2:26" ht="11.25" customHeight="1">
      <c r="B479" s="5"/>
      <c r="C479" s="5"/>
      <c r="D479" s="5"/>
      <c r="E479" s="5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2:26" ht="11.25" customHeight="1">
      <c r="B480" s="5"/>
      <c r="C480" s="5"/>
      <c r="D480" s="5"/>
      <c r="E480" s="5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2:26" ht="11.25" customHeight="1">
      <c r="B481" s="5"/>
      <c r="C481" s="5"/>
      <c r="D481" s="5"/>
      <c r="E481" s="5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2:26" ht="11.25" customHeight="1">
      <c r="B482" s="5"/>
      <c r="C482" s="5"/>
      <c r="D482" s="5"/>
      <c r="E482" s="5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2:26" ht="11.25" customHeight="1">
      <c r="B483" s="5"/>
      <c r="C483" s="5"/>
      <c r="D483" s="5"/>
      <c r="E483" s="5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2:26" ht="11.25" customHeight="1">
      <c r="B484" s="5"/>
      <c r="C484" s="5"/>
      <c r="D484" s="5"/>
      <c r="E484" s="5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2:26" ht="11.25" customHeight="1">
      <c r="B485" s="5"/>
      <c r="C485" s="5"/>
      <c r="D485" s="5"/>
      <c r="E485" s="5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2:26" ht="11.25" customHeight="1">
      <c r="B486" s="5"/>
      <c r="C486" s="5"/>
      <c r="D486" s="5"/>
      <c r="E486" s="5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2:26" ht="11.25" customHeight="1">
      <c r="B487" s="5"/>
      <c r="C487" s="5"/>
      <c r="D487" s="5"/>
      <c r="E487" s="5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2:26" ht="11.25" customHeight="1">
      <c r="B488" s="5"/>
      <c r="C488" s="5"/>
      <c r="D488" s="5"/>
      <c r="E488" s="5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2:26" ht="11.25" customHeight="1">
      <c r="B489" s="5"/>
      <c r="C489" s="5"/>
      <c r="D489" s="5"/>
      <c r="E489" s="5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2:26" ht="11.25" customHeight="1">
      <c r="B490" s="5"/>
      <c r="C490" s="5"/>
      <c r="D490" s="5"/>
      <c r="E490" s="5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2:26" ht="11.25" customHeight="1">
      <c r="B491" s="5"/>
      <c r="C491" s="5"/>
      <c r="D491" s="5"/>
      <c r="E491" s="5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2:26" ht="11.25" customHeight="1">
      <c r="B492" s="5"/>
      <c r="C492" s="5"/>
      <c r="D492" s="5"/>
      <c r="E492" s="5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2:26" ht="11.25" customHeight="1">
      <c r="B493" s="5"/>
      <c r="C493" s="5"/>
      <c r="D493" s="5"/>
      <c r="E493" s="5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2:26" ht="11.25" customHeight="1">
      <c r="B494" s="5"/>
      <c r="C494" s="5"/>
      <c r="D494" s="5"/>
      <c r="E494" s="5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2:26" ht="11.25" customHeight="1">
      <c r="B495" s="5"/>
      <c r="C495" s="5"/>
      <c r="D495" s="5"/>
      <c r="E495" s="5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2:26" ht="11.25" customHeight="1">
      <c r="B496" s="5"/>
      <c r="C496" s="5"/>
      <c r="D496" s="5"/>
      <c r="E496" s="5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2:26" ht="11.25" customHeight="1">
      <c r="B497" s="5"/>
      <c r="C497" s="5"/>
      <c r="D497" s="5"/>
      <c r="E497" s="5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2:26" ht="11.25" customHeight="1">
      <c r="B498" s="5"/>
      <c r="C498" s="5"/>
      <c r="D498" s="5"/>
      <c r="E498" s="5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2:26" ht="11.25" customHeight="1">
      <c r="B499" s="5"/>
      <c r="C499" s="5"/>
      <c r="D499" s="5"/>
      <c r="E499" s="5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2:26" ht="11.25" customHeight="1">
      <c r="B500" s="5"/>
      <c r="C500" s="5"/>
      <c r="D500" s="5"/>
      <c r="E500" s="5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2:26" ht="11.25" customHeight="1">
      <c r="B501" s="5"/>
      <c r="C501" s="5"/>
      <c r="D501" s="5"/>
      <c r="E501" s="5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2:26" ht="11.25" customHeight="1">
      <c r="B502" s="5"/>
      <c r="C502" s="5"/>
      <c r="D502" s="5"/>
      <c r="E502" s="5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2:26" ht="11.25" customHeight="1">
      <c r="B503" s="5"/>
      <c r="C503" s="5"/>
      <c r="D503" s="5"/>
      <c r="E503" s="5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2:26" ht="11.25" customHeight="1">
      <c r="B504" s="5"/>
      <c r="C504" s="5"/>
      <c r="D504" s="5"/>
      <c r="E504" s="5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2:26" ht="11.25" customHeight="1">
      <c r="B505" s="5"/>
      <c r="C505" s="5"/>
      <c r="D505" s="5"/>
      <c r="E505" s="5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2:26" ht="11.25" customHeight="1">
      <c r="B506" s="5"/>
      <c r="C506" s="5"/>
      <c r="D506" s="5"/>
      <c r="E506" s="5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2:26" ht="11.25" customHeight="1">
      <c r="B507" s="5"/>
      <c r="C507" s="5"/>
      <c r="D507" s="5"/>
      <c r="E507" s="5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2:26" ht="11.25" customHeight="1">
      <c r="B508" s="5"/>
      <c r="C508" s="5"/>
      <c r="D508" s="5"/>
      <c r="E508" s="5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2:26" ht="11.25" customHeight="1">
      <c r="B509" s="5"/>
      <c r="C509" s="5"/>
      <c r="D509" s="5"/>
      <c r="E509" s="5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2:26" ht="11.25" customHeight="1">
      <c r="B510" s="5"/>
      <c r="C510" s="5"/>
      <c r="D510" s="5"/>
      <c r="E510" s="5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2:26" ht="11.25" customHeight="1">
      <c r="B511" s="5"/>
      <c r="C511" s="5"/>
      <c r="D511" s="5"/>
      <c r="E511" s="5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2:26" ht="11.25" customHeight="1">
      <c r="B512" s="5"/>
      <c r="C512" s="5"/>
      <c r="D512" s="5"/>
      <c r="E512" s="5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2:26" ht="11.25" customHeight="1">
      <c r="B513" s="5"/>
      <c r="C513" s="5"/>
      <c r="D513" s="5"/>
      <c r="E513" s="5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2:26" ht="11.25" customHeight="1">
      <c r="B514" s="5"/>
      <c r="C514" s="5"/>
      <c r="D514" s="5"/>
      <c r="E514" s="5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2:26" ht="11.25" customHeight="1">
      <c r="B515" s="5"/>
      <c r="C515" s="5"/>
      <c r="D515" s="5"/>
      <c r="E515" s="5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2:26" ht="11.25" customHeight="1">
      <c r="B516" s="5"/>
      <c r="C516" s="5"/>
      <c r="D516" s="5"/>
      <c r="E516" s="5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2:26" ht="11.25" customHeight="1">
      <c r="B517" s="5"/>
      <c r="C517" s="5"/>
      <c r="D517" s="5"/>
      <c r="E517" s="5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2:26" ht="11.25" customHeight="1">
      <c r="B518" s="5"/>
      <c r="C518" s="5"/>
      <c r="D518" s="5"/>
      <c r="E518" s="5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2:26" ht="11.25" customHeight="1">
      <c r="B519" s="5"/>
      <c r="C519" s="5"/>
      <c r="D519" s="5"/>
      <c r="E519" s="5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2:26" ht="11.25" customHeight="1">
      <c r="B520" s="5"/>
      <c r="C520" s="5"/>
      <c r="D520" s="5"/>
      <c r="E520" s="5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2:26" ht="11.25" customHeight="1">
      <c r="B521" s="5"/>
      <c r="C521" s="5"/>
      <c r="D521" s="5"/>
      <c r="E521" s="5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2:26" ht="11.25" customHeight="1">
      <c r="B522" s="5"/>
      <c r="C522" s="5"/>
      <c r="D522" s="5"/>
      <c r="E522" s="5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2:26" ht="11.25" customHeight="1">
      <c r="B523" s="5"/>
      <c r="C523" s="5"/>
      <c r="D523" s="5"/>
      <c r="E523" s="5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2:26" ht="11.25" customHeight="1">
      <c r="B524" s="5"/>
      <c r="C524" s="5"/>
      <c r="D524" s="5"/>
      <c r="E524" s="5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2:26" ht="11.25" customHeight="1">
      <c r="B525" s="5"/>
      <c r="C525" s="5"/>
      <c r="D525" s="5"/>
      <c r="E525" s="5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2:26" ht="11.25" customHeight="1">
      <c r="B526" s="5"/>
      <c r="C526" s="5"/>
      <c r="D526" s="5"/>
      <c r="E526" s="5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2:26" ht="11.25" customHeight="1">
      <c r="B527" s="5"/>
      <c r="C527" s="5"/>
      <c r="D527" s="5"/>
      <c r="E527" s="5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2:26" ht="11.25" customHeight="1">
      <c r="B528" s="5"/>
      <c r="C528" s="5"/>
      <c r="D528" s="5"/>
      <c r="E528" s="5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2:26" ht="11.25" customHeight="1">
      <c r="B529" s="5"/>
      <c r="C529" s="5"/>
      <c r="D529" s="5"/>
      <c r="E529" s="5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2:26" ht="11.25" customHeight="1">
      <c r="B530" s="5"/>
      <c r="C530" s="5"/>
      <c r="D530" s="5"/>
      <c r="E530" s="5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2:26" ht="11.25" customHeight="1">
      <c r="B531" s="5"/>
      <c r="C531" s="5"/>
      <c r="D531" s="5"/>
      <c r="E531" s="5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2:26" ht="11.25" customHeight="1">
      <c r="B532" s="5"/>
      <c r="C532" s="5"/>
      <c r="D532" s="5"/>
      <c r="E532" s="5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2:26" ht="11.25" customHeight="1">
      <c r="B533" s="5"/>
      <c r="C533" s="5"/>
      <c r="D533" s="5"/>
      <c r="E533" s="5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2:26" ht="11.25" customHeight="1">
      <c r="B534" s="5"/>
      <c r="C534" s="5"/>
      <c r="D534" s="5"/>
      <c r="E534" s="5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2:26" ht="11.25" customHeight="1">
      <c r="B535" s="5"/>
      <c r="C535" s="5"/>
      <c r="D535" s="5"/>
      <c r="E535" s="5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2:26" ht="11.25" customHeight="1">
      <c r="B536" s="5"/>
      <c r="C536" s="5"/>
      <c r="D536" s="5"/>
      <c r="E536" s="5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2:26" ht="11.25" customHeight="1">
      <c r="B537" s="5"/>
      <c r="C537" s="5"/>
      <c r="D537" s="5"/>
      <c r="E537" s="5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2:26" ht="11.25" customHeight="1">
      <c r="B538" s="5"/>
      <c r="C538" s="5"/>
      <c r="D538" s="5"/>
      <c r="E538" s="5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2:26" ht="11.25" customHeight="1">
      <c r="B539" s="5"/>
      <c r="C539" s="5"/>
      <c r="D539" s="5"/>
      <c r="E539" s="5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2:26" ht="11.25" customHeight="1">
      <c r="B540" s="5"/>
      <c r="C540" s="5"/>
      <c r="D540" s="5"/>
      <c r="E540" s="5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2:26" ht="11.25" customHeight="1">
      <c r="B541" s="5"/>
      <c r="C541" s="5"/>
      <c r="D541" s="5"/>
      <c r="E541" s="5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2:26" ht="11.25" customHeight="1">
      <c r="B542" s="5"/>
      <c r="C542" s="5"/>
      <c r="D542" s="5"/>
      <c r="E542" s="5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2:26" ht="11.25" customHeight="1">
      <c r="B543" s="5"/>
      <c r="C543" s="5"/>
      <c r="D543" s="5"/>
      <c r="E543" s="5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2:26" ht="11.25" customHeight="1">
      <c r="B544" s="5"/>
      <c r="C544" s="5"/>
      <c r="D544" s="5"/>
      <c r="E544" s="5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2:26" ht="11.25" customHeight="1">
      <c r="B545" s="5"/>
      <c r="C545" s="5"/>
      <c r="D545" s="5"/>
      <c r="E545" s="5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2:26" ht="11.25" customHeight="1">
      <c r="B546" s="5"/>
      <c r="C546" s="5"/>
      <c r="D546" s="5"/>
      <c r="E546" s="5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2:26" ht="11.25" customHeight="1">
      <c r="B547" s="5"/>
      <c r="C547" s="5"/>
      <c r="D547" s="5"/>
      <c r="E547" s="5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2:26" ht="11.25" customHeight="1">
      <c r="B548" s="5"/>
      <c r="C548" s="5"/>
      <c r="D548" s="5"/>
      <c r="E548" s="5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2:26" ht="11.25" customHeight="1">
      <c r="B549" s="5"/>
      <c r="C549" s="5"/>
      <c r="D549" s="5"/>
      <c r="E549" s="5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2:26" ht="11.25" customHeight="1">
      <c r="B550" s="5"/>
      <c r="C550" s="5"/>
      <c r="D550" s="5"/>
      <c r="E550" s="5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2:26" ht="11.25" customHeight="1">
      <c r="B551" s="5"/>
      <c r="C551" s="5"/>
      <c r="D551" s="5"/>
      <c r="E551" s="5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2:26" ht="11.25" customHeight="1">
      <c r="B552" s="5"/>
      <c r="C552" s="5"/>
      <c r="D552" s="5"/>
      <c r="E552" s="5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2:26" ht="11.25" customHeight="1">
      <c r="B553" s="5"/>
      <c r="C553" s="5"/>
      <c r="D553" s="5"/>
      <c r="E553" s="5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2:26" ht="11.25" customHeight="1">
      <c r="B554" s="5"/>
      <c r="C554" s="5"/>
      <c r="D554" s="5"/>
      <c r="E554" s="5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2:26" ht="11.25" customHeight="1">
      <c r="B555" s="5"/>
      <c r="C555" s="5"/>
      <c r="D555" s="5"/>
      <c r="E555" s="5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2:26" ht="11.25" customHeight="1">
      <c r="B556" s="5"/>
      <c r="C556" s="5"/>
      <c r="D556" s="5"/>
      <c r="E556" s="5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2:26" ht="11.25" customHeight="1">
      <c r="B557" s="5"/>
      <c r="C557" s="5"/>
      <c r="D557" s="5"/>
      <c r="E557" s="5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2:26" ht="11.25" customHeight="1">
      <c r="B558" s="5"/>
      <c r="C558" s="5"/>
      <c r="D558" s="5"/>
      <c r="E558" s="5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2:26" ht="11.25" customHeight="1">
      <c r="B559" s="5"/>
      <c r="C559" s="5"/>
      <c r="D559" s="5"/>
      <c r="E559" s="5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2:26" ht="11.25" customHeight="1">
      <c r="B560" s="5"/>
      <c r="C560" s="5"/>
      <c r="D560" s="5"/>
      <c r="E560" s="5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2:26" ht="11.25" customHeight="1">
      <c r="B561" s="5"/>
      <c r="C561" s="5"/>
      <c r="D561" s="5"/>
      <c r="E561" s="5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2:26" ht="11.25" customHeight="1">
      <c r="B562" s="5"/>
      <c r="C562" s="5"/>
      <c r="D562" s="5"/>
      <c r="E562" s="5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2:26" ht="11.25" customHeight="1">
      <c r="B563" s="5"/>
      <c r="C563" s="5"/>
      <c r="D563" s="5"/>
      <c r="E563" s="5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2:26" ht="11.25" customHeight="1">
      <c r="B564" s="5"/>
      <c r="C564" s="5"/>
      <c r="D564" s="5"/>
      <c r="E564" s="5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2:26" ht="11.25" customHeight="1">
      <c r="B565" s="5"/>
      <c r="C565" s="5"/>
      <c r="D565" s="5"/>
      <c r="E565" s="5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2:26" ht="11.25" customHeight="1">
      <c r="B566" s="5"/>
      <c r="C566" s="5"/>
      <c r="D566" s="5"/>
      <c r="E566" s="5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2:26" ht="11.25" customHeight="1">
      <c r="B567" s="5"/>
      <c r="C567" s="5"/>
      <c r="D567" s="5"/>
      <c r="E567" s="5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2:26" ht="11.25" customHeight="1">
      <c r="B568" s="5"/>
      <c r="C568" s="5"/>
      <c r="D568" s="5"/>
      <c r="E568" s="5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2:26" ht="11.25" customHeight="1">
      <c r="B569" s="5"/>
      <c r="C569" s="5"/>
      <c r="D569" s="5"/>
      <c r="E569" s="5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2:26" ht="11.25" customHeight="1">
      <c r="B570" s="5"/>
      <c r="C570" s="5"/>
      <c r="D570" s="5"/>
      <c r="E570" s="5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2:26" ht="11.25" customHeight="1">
      <c r="B571" s="5"/>
      <c r="C571" s="5"/>
      <c r="D571" s="5"/>
      <c r="E571" s="5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2:26" ht="11.25" customHeight="1">
      <c r="B572" s="5"/>
      <c r="C572" s="5"/>
      <c r="D572" s="5"/>
      <c r="E572" s="5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2:26" ht="11.25" customHeight="1">
      <c r="B573" s="5"/>
      <c r="C573" s="5"/>
      <c r="D573" s="5"/>
      <c r="E573" s="5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2:26" ht="11.25" customHeight="1">
      <c r="B574" s="5"/>
      <c r="C574" s="5"/>
      <c r="D574" s="5"/>
      <c r="E574" s="5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2:26" ht="11.25" customHeight="1">
      <c r="B575" s="5"/>
      <c r="C575" s="5"/>
      <c r="D575" s="5"/>
      <c r="E575" s="5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2:26" ht="11.25" customHeight="1">
      <c r="B576" s="5"/>
      <c r="C576" s="5"/>
      <c r="D576" s="5"/>
      <c r="E576" s="5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2:26" ht="11.25" customHeight="1">
      <c r="B577" s="5"/>
      <c r="C577" s="5"/>
      <c r="D577" s="5"/>
      <c r="E577" s="5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2:26" ht="11.25" customHeight="1">
      <c r="B578" s="5"/>
      <c r="C578" s="5"/>
      <c r="D578" s="5"/>
      <c r="E578" s="5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2:26" ht="11.25" customHeight="1">
      <c r="B579" s="5"/>
      <c r="C579" s="5"/>
      <c r="D579" s="5"/>
      <c r="E579" s="5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2:26" ht="11.25" customHeight="1">
      <c r="B580" s="5"/>
      <c r="C580" s="5"/>
      <c r="D580" s="5"/>
      <c r="E580" s="5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2:26" ht="11.25" customHeight="1">
      <c r="B581" s="5"/>
      <c r="C581" s="5"/>
      <c r="D581" s="5"/>
      <c r="E581" s="5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2:26" ht="11.25" customHeight="1">
      <c r="B582" s="5"/>
      <c r="C582" s="5"/>
      <c r="D582" s="5"/>
      <c r="E582" s="5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2:26" ht="11.25" customHeight="1">
      <c r="B583" s="5"/>
      <c r="C583" s="5"/>
      <c r="D583" s="5"/>
      <c r="E583" s="5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2:26" ht="11.25" customHeight="1">
      <c r="B584" s="5"/>
      <c r="C584" s="5"/>
      <c r="D584" s="5"/>
      <c r="E584" s="5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2:26" ht="11.25" customHeight="1">
      <c r="B585" s="5"/>
      <c r="C585" s="5"/>
      <c r="D585" s="5"/>
      <c r="E585" s="5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2:26" ht="11.25" customHeight="1">
      <c r="B586" s="5"/>
      <c r="C586" s="5"/>
      <c r="D586" s="5"/>
      <c r="E586" s="5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2:26" ht="11.25" customHeight="1">
      <c r="B587" s="5"/>
      <c r="C587" s="5"/>
      <c r="D587" s="5"/>
      <c r="E587" s="5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2:26" ht="11.25" customHeight="1">
      <c r="B588" s="5"/>
      <c r="C588" s="5"/>
      <c r="D588" s="5"/>
      <c r="E588" s="5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2:26" ht="11.25" customHeight="1">
      <c r="B589" s="5"/>
      <c r="C589" s="5"/>
      <c r="D589" s="5"/>
      <c r="E589" s="5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2:26" ht="11.25" customHeight="1">
      <c r="B590" s="5"/>
      <c r="C590" s="5"/>
      <c r="D590" s="5"/>
      <c r="E590" s="5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2:26" ht="11.25" customHeight="1">
      <c r="B591" s="5"/>
      <c r="C591" s="5"/>
      <c r="D591" s="5"/>
      <c r="E591" s="5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2:26" ht="11.25" customHeight="1">
      <c r="B592" s="5"/>
      <c r="C592" s="5"/>
      <c r="D592" s="5"/>
      <c r="E592" s="5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2:26" ht="11.25" customHeight="1">
      <c r="B593" s="5"/>
      <c r="C593" s="5"/>
      <c r="D593" s="5"/>
      <c r="E593" s="5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2:26" ht="11.25" customHeight="1">
      <c r="B594" s="5"/>
      <c r="C594" s="5"/>
      <c r="D594" s="5"/>
      <c r="E594" s="5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2:26" ht="11.25" customHeight="1">
      <c r="B595" s="5"/>
      <c r="C595" s="5"/>
      <c r="D595" s="5"/>
      <c r="E595" s="5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2:26" ht="11.25" customHeight="1">
      <c r="B596" s="5"/>
      <c r="C596" s="5"/>
      <c r="D596" s="5"/>
      <c r="E596" s="5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2:26" ht="11.25" customHeight="1">
      <c r="B597" s="5"/>
      <c r="C597" s="5"/>
      <c r="D597" s="5"/>
      <c r="E597" s="5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2:26" ht="11.25" customHeight="1">
      <c r="B598" s="5"/>
      <c r="C598" s="5"/>
      <c r="D598" s="5"/>
      <c r="E598" s="5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2:26" ht="11.25" customHeight="1">
      <c r="B599" s="5"/>
      <c r="C599" s="5"/>
      <c r="D599" s="5"/>
      <c r="E599" s="5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2:26" ht="11.25" customHeight="1">
      <c r="B600" s="5"/>
      <c r="C600" s="5"/>
      <c r="D600" s="5"/>
      <c r="E600" s="5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2:26" ht="11.25" customHeight="1">
      <c r="B601" s="5"/>
      <c r="C601" s="5"/>
      <c r="D601" s="5"/>
      <c r="E601" s="5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2:26" ht="11.25" customHeight="1">
      <c r="B602" s="5"/>
      <c r="C602" s="5"/>
      <c r="D602" s="5"/>
      <c r="E602" s="5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2:26" ht="11.25" customHeight="1">
      <c r="B603" s="5"/>
      <c r="C603" s="5"/>
      <c r="D603" s="5"/>
      <c r="E603" s="5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2:26" ht="11.25" customHeight="1">
      <c r="B604" s="5"/>
      <c r="C604" s="5"/>
      <c r="D604" s="5"/>
      <c r="E604" s="5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2:26" ht="11.25" customHeight="1">
      <c r="B605" s="5"/>
      <c r="C605" s="5"/>
      <c r="D605" s="5"/>
      <c r="E605" s="5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2:26" ht="11.25" customHeight="1">
      <c r="B606" s="5"/>
      <c r="C606" s="5"/>
      <c r="D606" s="5"/>
      <c r="E606" s="5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2:26" ht="11.25" customHeight="1">
      <c r="B607" s="5"/>
      <c r="C607" s="5"/>
      <c r="D607" s="5"/>
      <c r="E607" s="5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2:26" ht="11.25" customHeight="1">
      <c r="B608" s="5"/>
      <c r="C608" s="5"/>
      <c r="D608" s="5"/>
      <c r="E608" s="5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2:26" ht="11.25" customHeight="1">
      <c r="B609" s="5"/>
      <c r="C609" s="5"/>
      <c r="D609" s="5"/>
      <c r="E609" s="5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2:26" ht="11.25" customHeight="1">
      <c r="B610" s="5"/>
      <c r="C610" s="5"/>
      <c r="D610" s="5"/>
      <c r="E610" s="5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2:26" ht="11.25" customHeight="1">
      <c r="B611" s="5"/>
      <c r="C611" s="5"/>
      <c r="D611" s="5"/>
      <c r="E611" s="5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2:26" ht="11.25" customHeight="1">
      <c r="B612" s="5"/>
      <c r="C612" s="5"/>
      <c r="D612" s="5"/>
      <c r="E612" s="5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2:26" ht="11.25" customHeight="1">
      <c r="B613" s="5"/>
      <c r="C613" s="5"/>
      <c r="D613" s="5"/>
      <c r="E613" s="5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2:26" ht="11.25" customHeight="1">
      <c r="B614" s="5"/>
      <c r="C614" s="5"/>
      <c r="D614" s="5"/>
      <c r="E614" s="5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2:26" ht="11.25" customHeight="1">
      <c r="B615" s="5"/>
      <c r="C615" s="5"/>
      <c r="D615" s="5"/>
      <c r="E615" s="5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2:26" ht="11.25" customHeight="1">
      <c r="B616" s="5"/>
      <c r="C616" s="5"/>
      <c r="D616" s="5"/>
      <c r="E616" s="5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2:26" ht="11.25" customHeight="1">
      <c r="B617" s="5"/>
      <c r="C617" s="5"/>
      <c r="D617" s="5"/>
      <c r="E617" s="5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2:26" ht="11.25" customHeight="1">
      <c r="B618" s="5"/>
      <c r="C618" s="5"/>
      <c r="D618" s="5"/>
      <c r="E618" s="5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2:26" ht="11.25" customHeight="1">
      <c r="B619" s="5"/>
      <c r="C619" s="5"/>
      <c r="D619" s="5"/>
      <c r="E619" s="5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2:26" ht="11.25" customHeight="1">
      <c r="B620" s="5"/>
      <c r="C620" s="5"/>
      <c r="D620" s="5"/>
      <c r="E620" s="5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2:26" ht="11.25" customHeight="1">
      <c r="B621" s="5"/>
      <c r="C621" s="5"/>
      <c r="D621" s="5"/>
      <c r="E621" s="5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2:26" ht="11.25" customHeight="1">
      <c r="B622" s="5"/>
      <c r="C622" s="5"/>
      <c r="D622" s="5"/>
      <c r="E622" s="5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2:26" ht="11.25" customHeight="1">
      <c r="B623" s="5"/>
      <c r="C623" s="5"/>
      <c r="D623" s="5"/>
      <c r="E623" s="5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2:26" ht="11.25" customHeight="1">
      <c r="B624" s="5"/>
      <c r="C624" s="5"/>
      <c r="D624" s="5"/>
      <c r="E624" s="5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2:26" ht="11.25" customHeight="1">
      <c r="B625" s="5"/>
      <c r="C625" s="5"/>
      <c r="D625" s="5"/>
      <c r="E625" s="5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2:26" ht="11.25" customHeight="1">
      <c r="B626" s="5"/>
      <c r="C626" s="5"/>
      <c r="D626" s="5"/>
      <c r="E626" s="5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2:26" ht="11.25" customHeight="1">
      <c r="B627" s="5"/>
      <c r="C627" s="5"/>
      <c r="D627" s="5"/>
      <c r="E627" s="5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2:26" ht="11.25" customHeight="1">
      <c r="B628" s="5"/>
      <c r="C628" s="5"/>
      <c r="D628" s="5"/>
      <c r="E628" s="5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2:26" ht="11.25" customHeight="1">
      <c r="B629" s="5"/>
      <c r="C629" s="5"/>
      <c r="D629" s="5"/>
      <c r="E629" s="5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2:26" ht="11.25" customHeight="1">
      <c r="B630" s="5"/>
      <c r="C630" s="5"/>
      <c r="D630" s="5"/>
      <c r="E630" s="5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2:26" ht="11.25" customHeight="1">
      <c r="B631" s="5"/>
      <c r="C631" s="5"/>
      <c r="D631" s="5"/>
      <c r="E631" s="5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2:26" ht="11.25" customHeight="1">
      <c r="B632" s="5"/>
      <c r="C632" s="5"/>
      <c r="D632" s="5"/>
      <c r="E632" s="5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2:26" ht="11.25" customHeight="1">
      <c r="B633" s="5"/>
      <c r="C633" s="5"/>
      <c r="D633" s="5"/>
      <c r="E633" s="5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2:26" ht="11.25" customHeight="1">
      <c r="B634" s="5"/>
      <c r="C634" s="5"/>
      <c r="D634" s="5"/>
      <c r="E634" s="5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2:26" ht="11.25" customHeight="1">
      <c r="B635" s="5"/>
      <c r="C635" s="5"/>
      <c r="D635" s="5"/>
      <c r="E635" s="5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2:26" ht="11.25" customHeight="1">
      <c r="B636" s="5"/>
      <c r="C636" s="5"/>
      <c r="D636" s="5"/>
      <c r="E636" s="5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2:26" ht="11.25" customHeight="1">
      <c r="B637" s="5"/>
      <c r="C637" s="5"/>
      <c r="D637" s="5"/>
      <c r="E637" s="5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2:26" ht="11.25" customHeight="1">
      <c r="B638" s="5"/>
      <c r="C638" s="5"/>
      <c r="D638" s="5"/>
      <c r="E638" s="5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2:26" ht="11.25" customHeight="1">
      <c r="B639" s="5"/>
      <c r="C639" s="5"/>
      <c r="D639" s="5"/>
      <c r="E639" s="5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2:26" ht="11.25" customHeight="1">
      <c r="B640" s="5"/>
      <c r="C640" s="5"/>
      <c r="D640" s="5"/>
      <c r="E640" s="5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2:26" ht="11.25" customHeight="1">
      <c r="B641" s="5"/>
      <c r="C641" s="5"/>
      <c r="D641" s="5"/>
      <c r="E641" s="5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2:26" ht="11.25" customHeight="1">
      <c r="B642" s="5"/>
      <c r="C642" s="5"/>
      <c r="D642" s="5"/>
      <c r="E642" s="5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2:26" ht="11.25" customHeight="1">
      <c r="B643" s="5"/>
      <c r="C643" s="5"/>
      <c r="D643" s="5"/>
      <c r="E643" s="5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2:26" ht="11.25" customHeight="1">
      <c r="B644" s="5"/>
      <c r="C644" s="5"/>
      <c r="D644" s="5"/>
      <c r="E644" s="5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2:26" ht="11.25" customHeight="1">
      <c r="B645" s="5"/>
      <c r="C645" s="5"/>
      <c r="D645" s="5"/>
      <c r="E645" s="5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2:26" ht="11.25" customHeight="1">
      <c r="B646" s="5"/>
      <c r="C646" s="5"/>
      <c r="D646" s="5"/>
      <c r="E646" s="5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2:26" ht="11.25" customHeight="1">
      <c r="B647" s="5"/>
      <c r="C647" s="5"/>
      <c r="D647" s="5"/>
      <c r="E647" s="5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2:26" ht="11.25" customHeight="1">
      <c r="B648" s="5"/>
      <c r="C648" s="5"/>
      <c r="D648" s="5"/>
      <c r="E648" s="5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2:26" ht="11.25" customHeight="1">
      <c r="B649" s="5"/>
      <c r="C649" s="5"/>
      <c r="D649" s="5"/>
      <c r="E649" s="5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2:26" ht="11.25" customHeight="1">
      <c r="B650" s="5"/>
      <c r="C650" s="5"/>
      <c r="D650" s="5"/>
      <c r="E650" s="5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2:26" ht="11.25" customHeight="1">
      <c r="B651" s="5"/>
      <c r="C651" s="5"/>
      <c r="D651" s="5"/>
      <c r="E651" s="5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2:26" ht="11.25" customHeight="1">
      <c r="B652" s="5"/>
      <c r="C652" s="5"/>
      <c r="D652" s="5"/>
      <c r="E652" s="5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2:26" ht="11.25" customHeight="1">
      <c r="B653" s="5"/>
      <c r="C653" s="5"/>
      <c r="D653" s="5"/>
      <c r="E653" s="5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2:26" ht="11.25" customHeight="1">
      <c r="B654" s="5"/>
      <c r="C654" s="5"/>
      <c r="D654" s="5"/>
      <c r="E654" s="5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2:26" ht="11.25" customHeight="1">
      <c r="B655" s="5"/>
      <c r="C655" s="5"/>
      <c r="D655" s="5"/>
      <c r="E655" s="5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2:26" ht="11.25" customHeight="1">
      <c r="B656" s="5"/>
      <c r="C656" s="5"/>
      <c r="D656" s="5"/>
      <c r="E656" s="5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2:26" ht="11.25" customHeight="1">
      <c r="B657" s="5"/>
      <c r="C657" s="5"/>
      <c r="D657" s="5"/>
      <c r="E657" s="5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2:26" ht="11.25" customHeight="1">
      <c r="B658" s="5"/>
      <c r="C658" s="5"/>
      <c r="D658" s="5"/>
      <c r="E658" s="5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2:26" ht="11.25" customHeight="1">
      <c r="B659" s="5"/>
      <c r="C659" s="5"/>
      <c r="D659" s="5"/>
      <c r="E659" s="5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2:26" ht="11.25" customHeight="1">
      <c r="B660" s="5"/>
      <c r="C660" s="5"/>
      <c r="D660" s="5"/>
      <c r="E660" s="5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2:26" ht="11.25" customHeight="1">
      <c r="B661" s="5"/>
      <c r="C661" s="5"/>
      <c r="D661" s="5"/>
      <c r="E661" s="5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2:26" ht="11.25" customHeight="1">
      <c r="B662" s="5"/>
      <c r="C662" s="5"/>
      <c r="D662" s="5"/>
      <c r="E662" s="5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2:26" ht="11.25" customHeight="1">
      <c r="B663" s="5"/>
      <c r="C663" s="5"/>
      <c r="D663" s="5"/>
      <c r="E663" s="5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2:26" ht="11.25" customHeight="1">
      <c r="B664" s="5"/>
      <c r="C664" s="5"/>
      <c r="D664" s="5"/>
      <c r="E664" s="5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2:26" ht="11.25" customHeight="1">
      <c r="B665" s="5"/>
      <c r="C665" s="5"/>
      <c r="D665" s="5"/>
      <c r="E665" s="5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2:26" ht="11.25" customHeight="1">
      <c r="B666" s="5"/>
      <c r="C666" s="5"/>
      <c r="D666" s="5"/>
      <c r="E666" s="5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2:26" ht="11.25" customHeight="1">
      <c r="B667" s="5"/>
      <c r="C667" s="5"/>
      <c r="D667" s="5"/>
      <c r="E667" s="5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2:26" ht="11.25" customHeight="1">
      <c r="B668" s="5"/>
      <c r="C668" s="5"/>
      <c r="D668" s="5"/>
      <c r="E668" s="5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2:26" ht="11.25" customHeight="1">
      <c r="B669" s="5"/>
      <c r="C669" s="5"/>
      <c r="D669" s="5"/>
      <c r="E669" s="5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2:26" ht="11.25" customHeight="1">
      <c r="B670" s="5"/>
      <c r="C670" s="5"/>
      <c r="D670" s="5"/>
      <c r="E670" s="5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2:26" ht="11.25" customHeight="1">
      <c r="B671" s="5"/>
      <c r="C671" s="5"/>
      <c r="D671" s="5"/>
      <c r="E671" s="5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2:26" ht="11.25" customHeight="1">
      <c r="B672" s="5"/>
      <c r="C672" s="5"/>
      <c r="D672" s="5"/>
      <c r="E672" s="5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2:26" ht="11.25" customHeight="1">
      <c r="B673" s="5"/>
      <c r="C673" s="5"/>
      <c r="D673" s="5"/>
      <c r="E673" s="5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2:26" ht="11.25" customHeight="1">
      <c r="B674" s="5"/>
      <c r="C674" s="5"/>
      <c r="D674" s="5"/>
      <c r="E674" s="5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2:26" ht="11.25" customHeight="1">
      <c r="B675" s="5"/>
      <c r="C675" s="5"/>
      <c r="D675" s="5"/>
      <c r="E675" s="5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2:26" ht="11.25" customHeight="1">
      <c r="B676" s="5"/>
      <c r="C676" s="5"/>
      <c r="D676" s="5"/>
      <c r="E676" s="5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2:26" ht="11.25" customHeight="1">
      <c r="B677" s="5"/>
      <c r="C677" s="5"/>
      <c r="D677" s="5"/>
      <c r="E677" s="5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2:26" ht="11.25" customHeight="1">
      <c r="B678" s="5"/>
      <c r="C678" s="5"/>
      <c r="D678" s="5"/>
      <c r="E678" s="5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2:26" ht="11.25" customHeight="1">
      <c r="B679" s="5"/>
      <c r="C679" s="5"/>
      <c r="D679" s="5"/>
      <c r="E679" s="5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2:26" ht="11.25" customHeight="1">
      <c r="B680" s="5"/>
      <c r="C680" s="5"/>
      <c r="D680" s="5"/>
      <c r="E680" s="5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2:26" ht="11.25" customHeight="1">
      <c r="B681" s="5"/>
      <c r="C681" s="5"/>
      <c r="D681" s="5"/>
      <c r="E681" s="5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2:26" ht="11.25" customHeight="1">
      <c r="B682" s="5"/>
      <c r="C682" s="5"/>
      <c r="D682" s="5"/>
      <c r="E682" s="5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2:26" ht="11.25" customHeight="1">
      <c r="B683" s="5"/>
      <c r="C683" s="5"/>
      <c r="D683" s="5"/>
      <c r="E683" s="5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2:26" ht="11.25" customHeight="1">
      <c r="B684" s="5"/>
      <c r="C684" s="5"/>
      <c r="D684" s="5"/>
      <c r="E684" s="5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2:26" ht="11.25" customHeight="1">
      <c r="B685" s="5"/>
      <c r="C685" s="5"/>
      <c r="D685" s="5"/>
      <c r="E685" s="5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2:26" ht="11.25" customHeight="1">
      <c r="B686" s="5"/>
      <c r="C686" s="5"/>
      <c r="D686" s="5"/>
      <c r="E686" s="5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2:26" ht="11.25" customHeight="1">
      <c r="B687" s="5"/>
      <c r="C687" s="5"/>
      <c r="D687" s="5"/>
      <c r="E687" s="5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2:26" ht="11.25" customHeight="1">
      <c r="B688" s="5"/>
      <c r="C688" s="5"/>
      <c r="D688" s="5"/>
      <c r="E688" s="5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2:26" ht="11.25" customHeight="1">
      <c r="B689" s="5"/>
      <c r="C689" s="5"/>
      <c r="D689" s="5"/>
      <c r="E689" s="5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2:26" ht="11.25" customHeight="1">
      <c r="B690" s="5"/>
      <c r="C690" s="5"/>
      <c r="D690" s="5"/>
      <c r="E690" s="5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2:26" ht="11.25" customHeight="1">
      <c r="B691" s="5"/>
      <c r="C691" s="5"/>
      <c r="D691" s="5"/>
      <c r="E691" s="5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2:26" ht="11.25" customHeight="1">
      <c r="B692" s="5"/>
      <c r="C692" s="5"/>
      <c r="D692" s="5"/>
      <c r="E692" s="5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2:26" ht="11.25" customHeight="1">
      <c r="B693" s="5"/>
      <c r="C693" s="5"/>
      <c r="D693" s="5"/>
      <c r="E693" s="5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2:26" ht="11.25" customHeight="1">
      <c r="B694" s="5"/>
      <c r="C694" s="5"/>
      <c r="D694" s="5"/>
      <c r="E694" s="5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2:26" ht="11.25" customHeight="1">
      <c r="B695" s="5"/>
      <c r="C695" s="5"/>
      <c r="D695" s="5"/>
      <c r="E695" s="5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2:26" ht="11.25" customHeight="1">
      <c r="B696" s="5"/>
      <c r="C696" s="5"/>
      <c r="D696" s="5"/>
      <c r="E696" s="5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2:26" ht="11.25" customHeight="1">
      <c r="B697" s="5"/>
      <c r="C697" s="5"/>
      <c r="D697" s="5"/>
      <c r="E697" s="5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2:26" ht="11.25" customHeight="1">
      <c r="B698" s="5"/>
      <c r="C698" s="5"/>
      <c r="D698" s="5"/>
      <c r="E698" s="5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2:26" ht="11.25" customHeight="1">
      <c r="B699" s="5"/>
      <c r="C699" s="5"/>
      <c r="D699" s="5"/>
      <c r="E699" s="5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2:26" ht="11.25" customHeight="1">
      <c r="B700" s="5"/>
      <c r="C700" s="5"/>
      <c r="D700" s="5"/>
      <c r="E700" s="5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2:26" ht="11.25" customHeight="1">
      <c r="B701" s="5"/>
      <c r="C701" s="5"/>
      <c r="D701" s="5"/>
      <c r="E701" s="5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2:26" ht="11.25" customHeight="1">
      <c r="B702" s="5"/>
      <c r="C702" s="5"/>
      <c r="D702" s="5"/>
      <c r="E702" s="5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2:26" ht="11.25" customHeight="1">
      <c r="B703" s="5"/>
      <c r="C703" s="5"/>
      <c r="D703" s="5"/>
      <c r="E703" s="5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2:26" ht="11.25" customHeight="1">
      <c r="B704" s="5"/>
      <c r="C704" s="5"/>
      <c r="D704" s="5"/>
      <c r="E704" s="5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2:26" ht="11.25" customHeight="1">
      <c r="B705" s="5"/>
      <c r="C705" s="5"/>
      <c r="D705" s="5"/>
      <c r="E705" s="5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2:26" ht="11.25" customHeight="1">
      <c r="B706" s="5"/>
      <c r="C706" s="5"/>
      <c r="D706" s="5"/>
      <c r="E706" s="5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2:26" ht="11.25" customHeight="1">
      <c r="B707" s="5"/>
      <c r="C707" s="5"/>
      <c r="D707" s="5"/>
      <c r="E707" s="5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2:26" ht="11.25" customHeight="1">
      <c r="B708" s="5"/>
      <c r="C708" s="5"/>
      <c r="D708" s="5"/>
      <c r="E708" s="5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2:26" ht="11.25" customHeight="1">
      <c r="B709" s="5"/>
      <c r="C709" s="5"/>
      <c r="D709" s="5"/>
      <c r="E709" s="5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2:26" ht="11.25" customHeight="1">
      <c r="B710" s="5"/>
      <c r="C710" s="5"/>
      <c r="D710" s="5"/>
      <c r="E710" s="5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2:26" ht="11.25" customHeight="1">
      <c r="B711" s="5"/>
      <c r="C711" s="5"/>
      <c r="D711" s="5"/>
      <c r="E711" s="5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2:26" ht="11.25" customHeight="1">
      <c r="B712" s="5"/>
      <c r="C712" s="5"/>
      <c r="D712" s="5"/>
      <c r="E712" s="5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2:26" ht="11.25" customHeight="1">
      <c r="B713" s="5"/>
      <c r="C713" s="5"/>
      <c r="D713" s="5"/>
      <c r="E713" s="5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2:26" ht="11.25" customHeight="1">
      <c r="B714" s="5"/>
      <c r="C714" s="5"/>
      <c r="D714" s="5"/>
      <c r="E714" s="5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2:26" ht="11.25" customHeight="1">
      <c r="B715" s="5"/>
      <c r="C715" s="5"/>
      <c r="D715" s="5"/>
      <c r="E715" s="5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2:26" ht="11.25" customHeight="1">
      <c r="B716" s="5"/>
      <c r="C716" s="5"/>
      <c r="D716" s="5"/>
      <c r="E716" s="5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2:26" ht="11.25" customHeight="1">
      <c r="B717" s="5"/>
      <c r="C717" s="5"/>
      <c r="D717" s="5"/>
      <c r="E717" s="5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2:26" ht="11.25" customHeight="1">
      <c r="B718" s="5"/>
      <c r="C718" s="5"/>
      <c r="D718" s="5"/>
      <c r="E718" s="5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2:26" ht="11.25" customHeight="1">
      <c r="B719" s="5"/>
      <c r="C719" s="5"/>
      <c r="D719" s="5"/>
      <c r="E719" s="5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2:26" ht="11.25" customHeight="1">
      <c r="B720" s="5"/>
      <c r="C720" s="5"/>
      <c r="D720" s="5"/>
      <c r="E720" s="5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2:26" ht="11.25" customHeight="1">
      <c r="B721" s="5"/>
      <c r="C721" s="5"/>
      <c r="D721" s="5"/>
      <c r="E721" s="5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2:26" ht="11.25" customHeight="1">
      <c r="B722" s="5"/>
      <c r="C722" s="5"/>
      <c r="D722" s="5"/>
      <c r="E722" s="5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2:26" ht="11.25" customHeight="1">
      <c r="B723" s="5"/>
      <c r="C723" s="5"/>
      <c r="D723" s="5"/>
      <c r="E723" s="5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2:26" ht="11.25" customHeight="1">
      <c r="B724" s="5"/>
      <c r="C724" s="5"/>
      <c r="D724" s="5"/>
      <c r="E724" s="5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2:26" ht="11.25" customHeight="1">
      <c r="B725" s="5"/>
      <c r="C725" s="5"/>
      <c r="D725" s="5"/>
      <c r="E725" s="5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2:26" ht="11.25" customHeight="1">
      <c r="B726" s="5"/>
      <c r="C726" s="5"/>
      <c r="D726" s="5"/>
      <c r="E726" s="5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2:26" ht="11.25" customHeight="1">
      <c r="B727" s="5"/>
      <c r="C727" s="5"/>
      <c r="D727" s="5"/>
      <c r="E727" s="5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2:26" ht="11.25" customHeight="1">
      <c r="B728" s="5"/>
      <c r="C728" s="5"/>
      <c r="D728" s="5"/>
      <c r="E728" s="5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2:26" ht="11.25" customHeight="1">
      <c r="B729" s="5"/>
      <c r="C729" s="5"/>
      <c r="D729" s="5"/>
      <c r="E729" s="5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2:26" ht="11.25" customHeight="1">
      <c r="B730" s="5"/>
      <c r="C730" s="5"/>
      <c r="D730" s="5"/>
      <c r="E730" s="5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2:26" ht="11.25" customHeight="1">
      <c r="B731" s="5"/>
      <c r="C731" s="5"/>
      <c r="D731" s="5"/>
      <c r="E731" s="5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2:26" ht="11.25" customHeight="1">
      <c r="B732" s="5"/>
      <c r="C732" s="5"/>
      <c r="D732" s="5"/>
      <c r="E732" s="5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2:26" ht="11.25" customHeight="1">
      <c r="B733" s="5"/>
      <c r="C733" s="5"/>
      <c r="D733" s="5"/>
      <c r="E733" s="5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2:26" ht="11.25" customHeight="1">
      <c r="B734" s="5"/>
      <c r="C734" s="5"/>
      <c r="D734" s="5"/>
      <c r="E734" s="5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2:26" ht="11.25" customHeight="1">
      <c r="B735" s="5"/>
      <c r="C735" s="5"/>
      <c r="D735" s="5"/>
      <c r="E735" s="5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2:26" ht="11.25" customHeight="1">
      <c r="B736" s="5"/>
      <c r="C736" s="5"/>
      <c r="D736" s="5"/>
      <c r="E736" s="5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2:26" ht="11.25" customHeight="1">
      <c r="B737" s="5"/>
      <c r="C737" s="5"/>
      <c r="D737" s="5"/>
      <c r="E737" s="5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2:26" ht="11.25" customHeight="1">
      <c r="B738" s="5"/>
      <c r="C738" s="5"/>
      <c r="D738" s="5"/>
      <c r="E738" s="5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2:26" ht="11.25" customHeight="1">
      <c r="B739" s="5"/>
      <c r="C739" s="5"/>
      <c r="D739" s="5"/>
      <c r="E739" s="5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2:26" ht="11.25" customHeight="1">
      <c r="B740" s="5"/>
      <c r="C740" s="5"/>
      <c r="D740" s="5"/>
      <c r="E740" s="5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2:26" ht="11.25" customHeight="1">
      <c r="B741" s="5"/>
      <c r="C741" s="5"/>
      <c r="D741" s="5"/>
      <c r="E741" s="5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2:26" ht="11.25" customHeight="1">
      <c r="B742" s="5"/>
      <c r="C742" s="5"/>
      <c r="D742" s="5"/>
      <c r="E742" s="5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2:26" ht="11.25" customHeight="1">
      <c r="B743" s="5"/>
      <c r="C743" s="5"/>
      <c r="D743" s="5"/>
      <c r="E743" s="5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2:26" ht="11.25" customHeight="1">
      <c r="B744" s="5"/>
      <c r="C744" s="5"/>
      <c r="D744" s="5"/>
      <c r="E744" s="5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2:26" ht="11.25" customHeight="1">
      <c r="B745" s="5"/>
      <c r="C745" s="5"/>
      <c r="D745" s="5"/>
      <c r="E745" s="5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2:26" ht="11.25" customHeight="1">
      <c r="B746" s="5"/>
      <c r="C746" s="5"/>
      <c r="D746" s="5"/>
      <c r="E746" s="5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2:26" ht="11.25" customHeight="1">
      <c r="B747" s="5"/>
      <c r="C747" s="5"/>
      <c r="D747" s="5"/>
      <c r="E747" s="5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2:26" ht="11.25" customHeight="1">
      <c r="B748" s="5"/>
      <c r="C748" s="5"/>
      <c r="D748" s="5"/>
      <c r="E748" s="5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2:26" ht="11.25" customHeight="1">
      <c r="B749" s="5"/>
      <c r="C749" s="5"/>
      <c r="D749" s="5"/>
      <c r="E749" s="5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2:26" ht="11.25" customHeight="1">
      <c r="B750" s="5"/>
      <c r="C750" s="5"/>
      <c r="D750" s="5"/>
      <c r="E750" s="5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2:26" ht="11.25" customHeight="1">
      <c r="B751" s="5"/>
      <c r="C751" s="5"/>
      <c r="D751" s="5"/>
      <c r="E751" s="5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2:26" ht="11.25" customHeight="1">
      <c r="B752" s="5"/>
      <c r="C752" s="5"/>
      <c r="D752" s="5"/>
      <c r="E752" s="5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2:26" ht="11.25" customHeight="1">
      <c r="B753" s="5"/>
      <c r="C753" s="5"/>
      <c r="D753" s="5"/>
      <c r="E753" s="5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2:26" ht="11.25" customHeight="1">
      <c r="B754" s="5"/>
      <c r="C754" s="5"/>
      <c r="D754" s="5"/>
      <c r="E754" s="5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2:26" ht="11.25" customHeight="1">
      <c r="B755" s="5"/>
      <c r="C755" s="5"/>
      <c r="D755" s="5"/>
      <c r="E755" s="5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2:26" ht="11.25" customHeight="1">
      <c r="B756" s="5"/>
      <c r="C756" s="5"/>
      <c r="D756" s="5"/>
      <c r="E756" s="5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2:26" ht="11.25" customHeight="1">
      <c r="B757" s="5"/>
      <c r="C757" s="5"/>
      <c r="D757" s="5"/>
      <c r="E757" s="5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2:26" ht="11.25" customHeight="1">
      <c r="B758" s="5"/>
      <c r="C758" s="5"/>
      <c r="D758" s="5"/>
      <c r="E758" s="5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2:26" ht="11.25" customHeight="1">
      <c r="B759" s="5"/>
      <c r="C759" s="5"/>
      <c r="D759" s="5"/>
      <c r="E759" s="5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2:26" ht="11.25" customHeight="1">
      <c r="B760" s="5"/>
      <c r="C760" s="5"/>
      <c r="D760" s="5"/>
      <c r="E760" s="5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2:26" ht="11.25" customHeight="1">
      <c r="B761" s="5"/>
      <c r="C761" s="5"/>
      <c r="D761" s="5"/>
      <c r="E761" s="5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2:26" ht="11.25" customHeight="1">
      <c r="B762" s="5"/>
      <c r="C762" s="5"/>
      <c r="D762" s="5"/>
      <c r="E762" s="5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2:26" ht="11.25" customHeight="1">
      <c r="B763" s="5"/>
      <c r="C763" s="5"/>
      <c r="D763" s="5"/>
      <c r="E763" s="5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2:26" ht="11.25" customHeight="1">
      <c r="B764" s="5"/>
      <c r="C764" s="5"/>
      <c r="D764" s="5"/>
      <c r="E764" s="5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2:26" ht="11.25" customHeight="1">
      <c r="B765" s="5"/>
      <c r="C765" s="5"/>
      <c r="D765" s="5"/>
      <c r="E765" s="5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2:26" ht="11.25" customHeight="1">
      <c r="B766" s="5"/>
      <c r="C766" s="5"/>
      <c r="D766" s="5"/>
      <c r="E766" s="5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2:26" ht="11.25" customHeight="1">
      <c r="B767" s="5"/>
      <c r="C767" s="5"/>
      <c r="D767" s="5"/>
      <c r="E767" s="5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2:26" ht="11.25" customHeight="1">
      <c r="B768" s="5"/>
      <c r="C768" s="5"/>
      <c r="D768" s="5"/>
      <c r="E768" s="5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2:26" ht="11.25" customHeight="1">
      <c r="B769" s="5"/>
      <c r="C769" s="5"/>
      <c r="D769" s="5"/>
      <c r="E769" s="5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2:26" ht="11.25" customHeight="1">
      <c r="B770" s="5"/>
      <c r="C770" s="5"/>
      <c r="D770" s="5"/>
      <c r="E770" s="5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2:26" ht="11.25" customHeight="1">
      <c r="B771" s="5"/>
      <c r="C771" s="5"/>
      <c r="D771" s="5"/>
      <c r="E771" s="5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2:26" ht="11.25" customHeight="1">
      <c r="B772" s="5"/>
      <c r="C772" s="5"/>
      <c r="D772" s="5"/>
      <c r="E772" s="5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2:26" ht="11.25" customHeight="1">
      <c r="B773" s="5"/>
      <c r="C773" s="5"/>
      <c r="D773" s="5"/>
      <c r="E773" s="5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2:26" ht="11.25" customHeight="1">
      <c r="B774" s="5"/>
      <c r="C774" s="5"/>
      <c r="D774" s="5"/>
      <c r="E774" s="5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2:26" ht="11.25" customHeight="1">
      <c r="B775" s="5"/>
      <c r="C775" s="5"/>
      <c r="D775" s="5"/>
      <c r="E775" s="5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2:26" ht="11.25" customHeight="1">
      <c r="B776" s="5"/>
      <c r="C776" s="5"/>
      <c r="D776" s="5"/>
      <c r="E776" s="5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2:26" ht="11.25" customHeight="1">
      <c r="B777" s="5"/>
      <c r="C777" s="5"/>
      <c r="D777" s="5"/>
      <c r="E777" s="5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2:26" ht="11.25" customHeight="1">
      <c r="B778" s="5"/>
      <c r="C778" s="5"/>
      <c r="D778" s="5"/>
      <c r="E778" s="5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2:26" ht="11.25" customHeight="1">
      <c r="B779" s="5"/>
      <c r="C779" s="5"/>
      <c r="D779" s="5"/>
      <c r="E779" s="5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2:26" ht="11.25" customHeight="1">
      <c r="B780" s="5"/>
      <c r="C780" s="5"/>
      <c r="D780" s="5"/>
      <c r="E780" s="5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2:26" ht="11.25" customHeight="1">
      <c r="B781" s="5"/>
      <c r="C781" s="5"/>
      <c r="D781" s="5"/>
      <c r="E781" s="5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2:26" ht="11.25" customHeight="1">
      <c r="B782" s="5"/>
      <c r="C782" s="5"/>
      <c r="D782" s="5"/>
      <c r="E782" s="5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2:26" ht="11.25" customHeight="1">
      <c r="B783" s="5"/>
      <c r="C783" s="5"/>
      <c r="D783" s="5"/>
      <c r="E783" s="5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2:26" ht="11.25" customHeight="1">
      <c r="B784" s="5"/>
      <c r="C784" s="5"/>
      <c r="D784" s="5"/>
      <c r="E784" s="5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2:26" ht="11.25" customHeight="1">
      <c r="B785" s="5"/>
      <c r="C785" s="5"/>
      <c r="D785" s="5"/>
      <c r="E785" s="5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2:26" ht="11.25" customHeight="1">
      <c r="B786" s="5"/>
      <c r="C786" s="5"/>
      <c r="D786" s="5"/>
      <c r="E786" s="5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2:26" ht="11.25" customHeight="1">
      <c r="B787" s="5"/>
      <c r="C787" s="5"/>
      <c r="D787" s="5"/>
      <c r="E787" s="5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2:26" ht="11.25" customHeight="1">
      <c r="B788" s="5"/>
      <c r="C788" s="5"/>
      <c r="D788" s="5"/>
      <c r="E788" s="5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2:26" ht="11.25" customHeight="1">
      <c r="B789" s="5"/>
      <c r="C789" s="5"/>
      <c r="D789" s="5"/>
      <c r="E789" s="5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2:26" ht="11.25" customHeight="1">
      <c r="B790" s="5"/>
      <c r="C790" s="5"/>
      <c r="D790" s="5"/>
      <c r="E790" s="5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2:26" ht="11.25" customHeight="1">
      <c r="B791" s="5"/>
      <c r="C791" s="5"/>
      <c r="D791" s="5"/>
      <c r="E791" s="5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2:26" ht="11.25" customHeight="1">
      <c r="B792" s="5"/>
      <c r="C792" s="5"/>
      <c r="D792" s="5"/>
      <c r="E792" s="5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2:26" ht="11.25" customHeight="1">
      <c r="B793" s="5"/>
      <c r="C793" s="5"/>
      <c r="D793" s="5"/>
      <c r="E793" s="5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2:26" ht="11.25" customHeight="1">
      <c r="B794" s="5"/>
      <c r="C794" s="5"/>
      <c r="D794" s="5"/>
      <c r="E794" s="5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2:26" ht="11.25" customHeight="1">
      <c r="B795" s="5"/>
      <c r="C795" s="5"/>
      <c r="D795" s="5"/>
      <c r="E795" s="5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2:26" ht="11.25" customHeight="1">
      <c r="B796" s="5"/>
      <c r="C796" s="5"/>
      <c r="D796" s="5"/>
      <c r="E796" s="5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2:26" ht="11.25" customHeight="1">
      <c r="B797" s="5"/>
      <c r="C797" s="5"/>
      <c r="D797" s="5"/>
      <c r="E797" s="5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2:26" ht="11.25" customHeight="1">
      <c r="B798" s="5"/>
      <c r="C798" s="5"/>
      <c r="D798" s="5"/>
      <c r="E798" s="5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2:26" ht="11.25" customHeight="1">
      <c r="B799" s="5"/>
      <c r="C799" s="5"/>
      <c r="D799" s="5"/>
      <c r="E799" s="5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2:26" ht="11.25" customHeight="1">
      <c r="B800" s="5"/>
      <c r="C800" s="5"/>
      <c r="D800" s="5"/>
      <c r="E800" s="5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2:26" ht="11.25" customHeight="1">
      <c r="B801" s="5"/>
      <c r="C801" s="5"/>
      <c r="D801" s="5"/>
      <c r="E801" s="5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2:26" ht="11.25" customHeight="1">
      <c r="B802" s="5"/>
      <c r="C802" s="5"/>
      <c r="D802" s="5"/>
      <c r="E802" s="5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2:26" ht="11.25" customHeight="1">
      <c r="B803" s="5"/>
      <c r="C803" s="5"/>
      <c r="D803" s="5"/>
      <c r="E803" s="5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2:26" ht="11.25" customHeight="1">
      <c r="B804" s="5"/>
      <c r="C804" s="5"/>
      <c r="D804" s="5"/>
      <c r="E804" s="5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2:26" ht="11.25" customHeight="1">
      <c r="B805" s="5"/>
      <c r="C805" s="5"/>
      <c r="D805" s="5"/>
      <c r="E805" s="5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2:26" ht="11.25" customHeight="1">
      <c r="B806" s="5"/>
      <c r="C806" s="5"/>
      <c r="D806" s="5"/>
      <c r="E806" s="5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2:26" ht="11.25" customHeight="1">
      <c r="B807" s="5"/>
      <c r="C807" s="5"/>
      <c r="D807" s="5"/>
      <c r="E807" s="5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2:26" ht="11.25" customHeight="1">
      <c r="B808" s="5"/>
      <c r="C808" s="5"/>
      <c r="D808" s="5"/>
      <c r="E808" s="5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2:26" ht="11.25" customHeight="1">
      <c r="B809" s="5"/>
      <c r="C809" s="5"/>
      <c r="D809" s="5"/>
      <c r="E809" s="5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2:26" ht="11.25" customHeight="1">
      <c r="B810" s="5"/>
      <c r="C810" s="5"/>
      <c r="D810" s="5"/>
      <c r="E810" s="5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2:26" ht="11.25" customHeight="1">
      <c r="B811" s="5"/>
      <c r="C811" s="5"/>
      <c r="D811" s="5"/>
      <c r="E811" s="5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2:26" ht="11.25" customHeight="1">
      <c r="B812" s="5"/>
      <c r="C812" s="5"/>
      <c r="D812" s="5"/>
      <c r="E812" s="5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2:26" ht="11.25" customHeight="1">
      <c r="B813" s="5"/>
      <c r="C813" s="5"/>
      <c r="D813" s="5"/>
      <c r="E813" s="5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2:26" ht="11.25" customHeight="1">
      <c r="B814" s="5"/>
      <c r="C814" s="5"/>
      <c r="D814" s="5"/>
      <c r="E814" s="5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2:26" ht="11.25" customHeight="1">
      <c r="B815" s="5"/>
      <c r="C815" s="5"/>
      <c r="D815" s="5"/>
      <c r="E815" s="5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2:26" ht="11.25" customHeight="1">
      <c r="B816" s="5"/>
      <c r="C816" s="5"/>
      <c r="D816" s="5"/>
      <c r="E816" s="5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2:26" ht="11.25" customHeight="1">
      <c r="B817" s="5"/>
      <c r="C817" s="5"/>
      <c r="D817" s="5"/>
      <c r="E817" s="5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2:26" ht="11.25" customHeight="1">
      <c r="B818" s="5"/>
      <c r="C818" s="5"/>
      <c r="D818" s="5"/>
      <c r="E818" s="5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2:26" ht="11.25" customHeight="1">
      <c r="B819" s="5"/>
      <c r="C819" s="5"/>
      <c r="D819" s="5"/>
      <c r="E819" s="5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2:26" ht="11.25" customHeight="1">
      <c r="B820" s="5"/>
      <c r="C820" s="5"/>
      <c r="D820" s="5"/>
      <c r="E820" s="5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2:26" ht="11.25" customHeight="1">
      <c r="B821" s="5"/>
      <c r="C821" s="5"/>
      <c r="D821" s="5"/>
      <c r="E821" s="5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2:26" ht="11.25" customHeight="1">
      <c r="B822" s="5"/>
      <c r="C822" s="5"/>
      <c r="D822" s="5"/>
      <c r="E822" s="5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2:26" ht="11.25" customHeight="1">
      <c r="B823" s="5"/>
      <c r="C823" s="5"/>
      <c r="D823" s="5"/>
      <c r="E823" s="5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2:26" ht="11.25" customHeight="1">
      <c r="B824" s="5"/>
      <c r="C824" s="5"/>
      <c r="D824" s="5"/>
      <c r="E824" s="5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2:26" ht="11.25" customHeight="1">
      <c r="B825" s="5"/>
      <c r="C825" s="5"/>
      <c r="D825" s="5"/>
      <c r="E825" s="5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2:26" ht="11.25" customHeight="1">
      <c r="B826" s="5"/>
      <c r="C826" s="5"/>
      <c r="D826" s="5"/>
      <c r="E826" s="5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2:26" ht="11.25" customHeight="1">
      <c r="B827" s="5"/>
      <c r="C827" s="5"/>
      <c r="D827" s="5"/>
      <c r="E827" s="5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2:26" ht="11.25" customHeight="1">
      <c r="B828" s="5"/>
      <c r="C828" s="5"/>
      <c r="D828" s="5"/>
      <c r="E828" s="5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2:26" ht="11.25" customHeight="1">
      <c r="B829" s="5"/>
      <c r="C829" s="5"/>
      <c r="D829" s="5"/>
      <c r="E829" s="5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2:26" ht="11.25" customHeight="1">
      <c r="B830" s="5"/>
      <c r="C830" s="5"/>
      <c r="D830" s="5"/>
      <c r="E830" s="5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2:26" ht="11.25" customHeight="1">
      <c r="B831" s="5"/>
      <c r="C831" s="5"/>
      <c r="D831" s="5"/>
      <c r="E831" s="5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2:26" ht="11.25" customHeight="1">
      <c r="B832" s="5"/>
      <c r="C832" s="5"/>
      <c r="D832" s="5"/>
      <c r="E832" s="5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2:26" ht="11.25" customHeight="1">
      <c r="B833" s="5"/>
      <c r="C833" s="5"/>
      <c r="D833" s="5"/>
      <c r="E833" s="5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2:26" ht="11.25" customHeight="1">
      <c r="B834" s="5"/>
      <c r="C834" s="5"/>
      <c r="D834" s="5"/>
      <c r="E834" s="5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2:26" ht="11.25" customHeight="1">
      <c r="B835" s="5"/>
      <c r="C835" s="5"/>
      <c r="D835" s="5"/>
      <c r="E835" s="5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2:26" ht="11.25" customHeight="1">
      <c r="B836" s="5"/>
      <c r="C836" s="5"/>
      <c r="D836" s="5"/>
      <c r="E836" s="5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2:26" ht="11.25" customHeight="1">
      <c r="B837" s="5"/>
      <c r="C837" s="5"/>
      <c r="D837" s="5"/>
      <c r="E837" s="5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2:26" ht="11.25" customHeight="1">
      <c r="B838" s="5"/>
      <c r="C838" s="5"/>
      <c r="D838" s="5"/>
      <c r="E838" s="5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2:26" ht="11.25" customHeight="1">
      <c r="B839" s="5"/>
      <c r="C839" s="5"/>
      <c r="D839" s="5"/>
      <c r="E839" s="5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2:26" ht="11.25" customHeight="1">
      <c r="B840" s="5"/>
      <c r="C840" s="5"/>
      <c r="D840" s="5"/>
      <c r="E840" s="5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2:26" ht="11.25" customHeight="1">
      <c r="B841" s="5"/>
      <c r="C841" s="5"/>
      <c r="D841" s="5"/>
      <c r="E841" s="5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2:26" ht="11.25" customHeight="1">
      <c r="B842" s="5"/>
      <c r="C842" s="5"/>
      <c r="D842" s="5"/>
      <c r="E842" s="5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2:26" ht="11.25" customHeight="1">
      <c r="B843" s="5"/>
      <c r="C843" s="5"/>
      <c r="D843" s="5"/>
      <c r="E843" s="5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2:26" ht="11.25" customHeight="1">
      <c r="B844" s="5"/>
      <c r="C844" s="5"/>
      <c r="D844" s="5"/>
      <c r="E844" s="5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2:26" ht="11.25" customHeight="1">
      <c r="B845" s="5"/>
      <c r="C845" s="5"/>
      <c r="D845" s="5"/>
      <c r="E845" s="5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2:26" ht="11.25" customHeight="1">
      <c r="B846" s="5"/>
      <c r="C846" s="5"/>
      <c r="D846" s="5"/>
      <c r="E846" s="5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2:26" ht="11.25" customHeight="1">
      <c r="B847" s="5"/>
      <c r="C847" s="5"/>
      <c r="D847" s="5"/>
      <c r="E847" s="5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2:26" ht="11.25" customHeight="1">
      <c r="B848" s="5"/>
      <c r="C848" s="5"/>
      <c r="D848" s="5"/>
      <c r="E848" s="5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2:26" ht="11.25" customHeight="1">
      <c r="B849" s="5"/>
      <c r="C849" s="5"/>
      <c r="D849" s="5"/>
      <c r="E849" s="5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2:26" ht="11.25" customHeight="1">
      <c r="B850" s="5"/>
      <c r="C850" s="5"/>
      <c r="D850" s="5"/>
      <c r="E850" s="5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2:26" ht="11.25" customHeight="1">
      <c r="B851" s="5"/>
      <c r="C851" s="5"/>
      <c r="D851" s="5"/>
      <c r="E851" s="5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2:26" ht="11.25" customHeight="1">
      <c r="B852" s="5"/>
      <c r="C852" s="5"/>
      <c r="D852" s="5"/>
      <c r="E852" s="5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2:26" ht="11.25" customHeight="1">
      <c r="B853" s="5"/>
      <c r="C853" s="5"/>
      <c r="D853" s="5"/>
      <c r="E853" s="5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2:26" ht="11.25" customHeight="1">
      <c r="B854" s="5"/>
      <c r="C854" s="5"/>
      <c r="D854" s="5"/>
      <c r="E854" s="5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2:26" ht="11.25" customHeight="1">
      <c r="B855" s="5"/>
      <c r="C855" s="5"/>
      <c r="D855" s="5"/>
      <c r="E855" s="5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2:26" ht="11.25" customHeight="1">
      <c r="B856" s="5"/>
      <c r="C856" s="5"/>
      <c r="D856" s="5"/>
      <c r="E856" s="5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2:26" ht="11.25" customHeight="1">
      <c r="B857" s="5"/>
      <c r="C857" s="5"/>
      <c r="D857" s="5"/>
      <c r="E857" s="5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2:26" ht="11.25" customHeight="1">
      <c r="B858" s="5"/>
      <c r="C858" s="5"/>
      <c r="D858" s="5"/>
      <c r="E858" s="5"/>
      <c r="F858" s="8"/>
      <c r="G858" s="8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2:26" ht="11.25" customHeight="1">
      <c r="B859" s="5"/>
      <c r="C859" s="5"/>
      <c r="D859" s="5"/>
      <c r="E859" s="5"/>
      <c r="F859" s="8"/>
      <c r="G859" s="8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2:26" ht="11.25" customHeight="1">
      <c r="B860" s="5"/>
      <c r="C860" s="5"/>
      <c r="D860" s="5"/>
      <c r="E860" s="5"/>
      <c r="F860" s="8"/>
      <c r="G860" s="8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2:26" ht="11.25" customHeight="1">
      <c r="B861" s="5"/>
      <c r="C861" s="5"/>
      <c r="D861" s="5"/>
      <c r="E861" s="5"/>
      <c r="F861" s="8"/>
      <c r="G861" s="8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2:26" ht="11.25" customHeight="1">
      <c r="B862" s="5"/>
      <c r="C862" s="5"/>
      <c r="D862" s="5"/>
      <c r="E862" s="5"/>
      <c r="F862" s="8"/>
      <c r="G862" s="8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2:26" ht="11.25" customHeight="1">
      <c r="B863" s="5"/>
      <c r="C863" s="5"/>
      <c r="D863" s="5"/>
      <c r="E863" s="5"/>
      <c r="F863" s="8"/>
      <c r="G863" s="8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2:26" ht="11.25" customHeight="1">
      <c r="B864" s="5"/>
      <c r="C864" s="5"/>
      <c r="D864" s="5"/>
      <c r="E864" s="5"/>
      <c r="F864" s="8"/>
      <c r="G864" s="8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2:26" ht="11.25" customHeight="1">
      <c r="B865" s="5"/>
      <c r="C865" s="5"/>
      <c r="D865" s="5"/>
      <c r="E865" s="5"/>
      <c r="F865" s="8"/>
      <c r="G865" s="8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2:26" ht="11.25" customHeight="1">
      <c r="B866" s="5"/>
      <c r="C866" s="5"/>
      <c r="D866" s="5"/>
      <c r="E866" s="5"/>
      <c r="F866" s="8"/>
      <c r="G866" s="8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2:26" ht="11.25" customHeight="1">
      <c r="B867" s="5"/>
      <c r="C867" s="5"/>
      <c r="D867" s="5"/>
      <c r="E867" s="5"/>
      <c r="F867" s="8"/>
      <c r="G867" s="8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2:26" ht="11.25" customHeight="1">
      <c r="B868" s="5"/>
      <c r="C868" s="5"/>
      <c r="D868" s="5"/>
      <c r="E868" s="5"/>
      <c r="F868" s="8"/>
      <c r="G868" s="8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2:26" ht="11.25" customHeight="1">
      <c r="B869" s="5"/>
      <c r="C869" s="5"/>
      <c r="D869" s="5"/>
      <c r="E869" s="5"/>
      <c r="F869" s="8"/>
      <c r="G869" s="8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2:26" ht="11.25" customHeight="1">
      <c r="B870" s="5"/>
      <c r="C870" s="5"/>
      <c r="D870" s="5"/>
      <c r="E870" s="5"/>
      <c r="F870" s="8"/>
      <c r="G870" s="8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2:26" ht="11.25" customHeight="1">
      <c r="B871" s="5"/>
      <c r="C871" s="5"/>
      <c r="D871" s="5"/>
      <c r="E871" s="5"/>
      <c r="F871" s="8"/>
      <c r="G871" s="8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2:26" ht="11.25" customHeight="1">
      <c r="B872" s="5"/>
      <c r="C872" s="5"/>
      <c r="D872" s="5"/>
      <c r="E872" s="5"/>
      <c r="F872" s="8"/>
      <c r="G872" s="8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2:26" ht="11.25" customHeight="1">
      <c r="B873" s="5"/>
      <c r="C873" s="5"/>
      <c r="D873" s="5"/>
      <c r="E873" s="5"/>
      <c r="F873" s="8"/>
      <c r="G873" s="8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2:26" ht="11.25" customHeight="1">
      <c r="B874" s="5"/>
      <c r="C874" s="5"/>
      <c r="D874" s="5"/>
      <c r="E874" s="5"/>
      <c r="F874" s="8"/>
      <c r="G874" s="8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2:26" ht="11.25" customHeight="1">
      <c r="B875" s="5"/>
      <c r="C875" s="5"/>
      <c r="D875" s="5"/>
      <c r="E875" s="5"/>
      <c r="F875" s="8"/>
      <c r="G875" s="8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2:26" ht="11.25" customHeight="1">
      <c r="B876" s="5"/>
      <c r="C876" s="5"/>
      <c r="D876" s="5"/>
      <c r="E876" s="5"/>
      <c r="F876" s="8"/>
      <c r="G876" s="8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2:26" ht="11.25" customHeight="1">
      <c r="B877" s="5"/>
      <c r="C877" s="5"/>
      <c r="D877" s="5"/>
      <c r="E877" s="5"/>
      <c r="F877" s="8"/>
      <c r="G877" s="8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2:26" ht="11.25" customHeight="1">
      <c r="B878" s="5"/>
      <c r="C878" s="5"/>
      <c r="D878" s="5"/>
      <c r="E878" s="5"/>
      <c r="F878" s="8"/>
      <c r="G878" s="8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2:26" ht="11.25" customHeight="1">
      <c r="B879" s="5"/>
      <c r="C879" s="5"/>
      <c r="D879" s="5"/>
      <c r="E879" s="5"/>
      <c r="F879" s="8"/>
      <c r="G879" s="8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2:26" ht="11.25" customHeight="1">
      <c r="B880" s="5"/>
      <c r="C880" s="5"/>
      <c r="D880" s="5"/>
      <c r="E880" s="5"/>
      <c r="F880" s="8"/>
      <c r="G880" s="8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2:26" ht="11.25" customHeight="1">
      <c r="B881" s="5"/>
      <c r="C881" s="5"/>
      <c r="D881" s="5"/>
      <c r="E881" s="5"/>
      <c r="F881" s="8"/>
      <c r="G881" s="8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2:26" ht="11.25" customHeight="1">
      <c r="B882" s="5"/>
      <c r="C882" s="5"/>
      <c r="D882" s="5"/>
      <c r="E882" s="5"/>
      <c r="F882" s="8"/>
      <c r="G882" s="8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2:26" ht="11.25" customHeight="1">
      <c r="B883" s="5"/>
      <c r="C883" s="5"/>
      <c r="D883" s="5"/>
      <c r="E883" s="5"/>
      <c r="F883" s="8"/>
      <c r="G883" s="8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2:26" ht="11.25" customHeight="1">
      <c r="B884" s="5"/>
      <c r="C884" s="5"/>
      <c r="D884" s="5"/>
      <c r="E884" s="5"/>
      <c r="F884" s="8"/>
      <c r="G884" s="8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2:26" ht="11.25" customHeight="1">
      <c r="B885" s="5"/>
      <c r="C885" s="5"/>
      <c r="D885" s="5"/>
      <c r="E885" s="5"/>
      <c r="F885" s="8"/>
      <c r="G885" s="8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2:26" ht="11.25" customHeight="1">
      <c r="B886" s="5"/>
      <c r="C886" s="5"/>
      <c r="D886" s="5"/>
      <c r="E886" s="5"/>
      <c r="F886" s="8"/>
      <c r="G886" s="8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2:26" ht="11.25" customHeight="1">
      <c r="B887" s="5"/>
      <c r="C887" s="5"/>
      <c r="D887" s="5"/>
      <c r="E887" s="5"/>
      <c r="F887" s="8"/>
      <c r="G887" s="8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2:26" ht="11.25" customHeight="1">
      <c r="B888" s="5"/>
      <c r="C888" s="5"/>
      <c r="D888" s="5"/>
      <c r="E888" s="5"/>
      <c r="F888" s="8"/>
      <c r="G888" s="8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2:26" ht="11.25" customHeight="1">
      <c r="B889" s="5"/>
      <c r="C889" s="5"/>
      <c r="D889" s="5"/>
      <c r="E889" s="5"/>
      <c r="F889" s="8"/>
      <c r="G889" s="8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2:26" ht="11.25" customHeight="1">
      <c r="B890" s="5"/>
      <c r="C890" s="5"/>
      <c r="D890" s="5"/>
      <c r="E890" s="5"/>
      <c r="F890" s="8"/>
      <c r="G890" s="8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2:26" ht="11.25" customHeight="1">
      <c r="B891" s="5"/>
      <c r="C891" s="5"/>
      <c r="D891" s="5"/>
      <c r="E891" s="5"/>
      <c r="F891" s="8"/>
      <c r="G891" s="8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2:26" ht="11.25" customHeight="1">
      <c r="B892" s="5"/>
      <c r="C892" s="5"/>
      <c r="D892" s="5"/>
      <c r="E892" s="5"/>
      <c r="F892" s="8"/>
      <c r="G892" s="8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2:26" ht="11.25" customHeight="1">
      <c r="B893" s="5"/>
      <c r="C893" s="5"/>
      <c r="D893" s="5"/>
      <c r="E893" s="5"/>
      <c r="F893" s="8"/>
      <c r="G893" s="8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2:26" ht="11.25" customHeight="1">
      <c r="B894" s="5"/>
      <c r="C894" s="5"/>
      <c r="D894" s="5"/>
      <c r="E894" s="5"/>
      <c r="F894" s="8"/>
      <c r="G894" s="8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2:26" ht="11.25" customHeight="1">
      <c r="B895" s="5"/>
      <c r="C895" s="5"/>
      <c r="D895" s="5"/>
      <c r="E895" s="5"/>
      <c r="F895" s="8"/>
      <c r="G895" s="8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2:26" ht="11.25" customHeight="1">
      <c r="B896" s="5"/>
      <c r="C896" s="5"/>
      <c r="D896" s="5"/>
      <c r="E896" s="5"/>
      <c r="F896" s="8"/>
      <c r="G896" s="8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2:26" ht="11.25" customHeight="1">
      <c r="B897" s="5"/>
      <c r="C897" s="5"/>
      <c r="D897" s="5"/>
      <c r="E897" s="5"/>
      <c r="F897" s="8"/>
      <c r="G897" s="8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2:26" ht="11.25" customHeight="1">
      <c r="B898" s="5"/>
      <c r="C898" s="5"/>
      <c r="D898" s="5"/>
      <c r="E898" s="5"/>
      <c r="F898" s="8"/>
      <c r="G898" s="8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2:26" ht="11.25" customHeight="1">
      <c r="B899" s="5"/>
      <c r="C899" s="5"/>
      <c r="D899" s="5"/>
      <c r="E899" s="5"/>
      <c r="F899" s="8"/>
      <c r="G899" s="8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2:26" ht="11.25" customHeight="1">
      <c r="B900" s="5"/>
      <c r="C900" s="5"/>
      <c r="D900" s="5"/>
      <c r="E900" s="5"/>
      <c r="F900" s="8"/>
      <c r="G900" s="8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2:26" ht="11.25" customHeight="1">
      <c r="B901" s="5"/>
      <c r="C901" s="5"/>
      <c r="D901" s="5"/>
      <c r="E901" s="5"/>
      <c r="F901" s="8"/>
      <c r="G901" s="8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2:26" ht="11.25" customHeight="1">
      <c r="B902" s="5"/>
      <c r="C902" s="5"/>
      <c r="D902" s="5"/>
      <c r="E902" s="5"/>
      <c r="F902" s="8"/>
      <c r="G902" s="8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2:26" ht="11.25" customHeight="1">
      <c r="B903" s="5"/>
      <c r="C903" s="5"/>
      <c r="D903" s="5"/>
      <c r="E903" s="5"/>
      <c r="F903" s="8"/>
      <c r="G903" s="8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2:26" ht="11.25" customHeight="1">
      <c r="B904" s="5"/>
      <c r="C904" s="5"/>
      <c r="D904" s="5"/>
      <c r="E904" s="5"/>
      <c r="F904" s="8"/>
      <c r="G904" s="8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2:26" ht="11.25" customHeight="1">
      <c r="B905" s="5"/>
      <c r="C905" s="5"/>
      <c r="D905" s="5"/>
      <c r="E905" s="5"/>
      <c r="F905" s="8"/>
      <c r="G905" s="8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2:26" ht="11.25" customHeight="1">
      <c r="B906" s="5"/>
      <c r="C906" s="5"/>
      <c r="D906" s="5"/>
      <c r="E906" s="5"/>
      <c r="F906" s="8"/>
      <c r="G906" s="8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2:26" ht="11.25" customHeight="1">
      <c r="B907" s="5"/>
      <c r="C907" s="5"/>
      <c r="D907" s="5"/>
      <c r="E907" s="5"/>
      <c r="F907" s="8"/>
      <c r="G907" s="8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2:26" ht="11.25" customHeight="1">
      <c r="B908" s="5"/>
      <c r="C908" s="5"/>
      <c r="D908" s="5"/>
      <c r="E908" s="5"/>
      <c r="F908" s="8"/>
      <c r="G908" s="8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2:26" ht="11.25" customHeight="1">
      <c r="B909" s="5"/>
      <c r="C909" s="5"/>
      <c r="D909" s="5"/>
      <c r="E909" s="5"/>
      <c r="F909" s="8"/>
      <c r="G909" s="8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2:26" ht="11.25" customHeight="1">
      <c r="B910" s="5"/>
      <c r="C910" s="5"/>
      <c r="D910" s="5"/>
      <c r="E910" s="5"/>
      <c r="F910" s="8"/>
      <c r="G910" s="8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2:26" ht="11.25" customHeight="1">
      <c r="B911" s="5"/>
      <c r="C911" s="5"/>
      <c r="D911" s="5"/>
      <c r="E911" s="5"/>
      <c r="F911" s="8"/>
      <c r="G911" s="8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2:26" ht="11.25" customHeight="1">
      <c r="B912" s="5"/>
      <c r="C912" s="5"/>
      <c r="D912" s="5"/>
      <c r="E912" s="5"/>
      <c r="F912" s="8"/>
      <c r="G912" s="8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2:26" ht="11.25" customHeight="1">
      <c r="B913" s="5"/>
      <c r="C913" s="5"/>
      <c r="D913" s="5"/>
      <c r="E913" s="5"/>
      <c r="F913" s="8"/>
      <c r="G913" s="8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2:26" ht="11.25" customHeight="1">
      <c r="B914" s="5"/>
      <c r="C914" s="5"/>
      <c r="D914" s="5"/>
      <c r="E914" s="5"/>
      <c r="F914" s="8"/>
      <c r="G914" s="8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2:26" ht="11.25" customHeight="1">
      <c r="B915" s="5"/>
      <c r="C915" s="5"/>
      <c r="D915" s="5"/>
      <c r="E915" s="5"/>
      <c r="F915" s="8"/>
      <c r="G915" s="8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2:26" ht="11.25" customHeight="1">
      <c r="B916" s="5"/>
      <c r="C916" s="5"/>
      <c r="D916" s="5"/>
      <c r="E916" s="5"/>
      <c r="F916" s="8"/>
      <c r="G916" s="8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2:26" ht="11.25" customHeight="1">
      <c r="B917" s="5"/>
      <c r="C917" s="5"/>
      <c r="D917" s="5"/>
      <c r="E917" s="5"/>
      <c r="F917" s="8"/>
      <c r="G917" s="8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2:26" ht="11.25" customHeight="1">
      <c r="B918" s="5"/>
      <c r="C918" s="5"/>
      <c r="D918" s="5"/>
      <c r="E918" s="5"/>
      <c r="F918" s="8"/>
      <c r="G918" s="8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2:26" ht="11.25" customHeight="1">
      <c r="B919" s="5"/>
      <c r="C919" s="5"/>
      <c r="D919" s="5"/>
      <c r="E919" s="5"/>
      <c r="F919" s="8"/>
      <c r="G919" s="8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2:26" ht="11.25" customHeight="1">
      <c r="B920" s="5"/>
      <c r="C920" s="5"/>
      <c r="D920" s="5"/>
      <c r="E920" s="5"/>
      <c r="F920" s="8"/>
      <c r="G920" s="8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2:26" ht="11.25" customHeight="1">
      <c r="B921" s="5"/>
      <c r="C921" s="5"/>
      <c r="D921" s="5"/>
      <c r="E921" s="5"/>
      <c r="F921" s="8"/>
      <c r="G921" s="8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2:26" ht="11.25" customHeight="1">
      <c r="B922" s="5"/>
      <c r="C922" s="5"/>
      <c r="D922" s="5"/>
      <c r="E922" s="5"/>
      <c r="F922" s="8"/>
      <c r="G922" s="8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2:26" ht="11.25" customHeight="1">
      <c r="B923" s="5"/>
      <c r="C923" s="5"/>
      <c r="D923" s="5"/>
      <c r="E923" s="5"/>
      <c r="F923" s="8"/>
      <c r="G923" s="8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2:26" ht="11.25" customHeight="1">
      <c r="B924" s="5"/>
      <c r="C924" s="5"/>
      <c r="D924" s="5"/>
      <c r="E924" s="5"/>
      <c r="F924" s="8"/>
      <c r="G924" s="8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2:26" ht="11.25" customHeight="1">
      <c r="B925" s="5"/>
      <c r="C925" s="5"/>
      <c r="D925" s="5"/>
      <c r="E925" s="5"/>
      <c r="F925" s="8"/>
      <c r="G925" s="8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2:26" ht="11.25" customHeight="1">
      <c r="B926" s="5"/>
      <c r="C926" s="5"/>
      <c r="D926" s="5"/>
      <c r="E926" s="5"/>
      <c r="F926" s="8"/>
      <c r="G926" s="8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2:26" ht="11.25" customHeight="1">
      <c r="B927" s="5"/>
      <c r="C927" s="5"/>
      <c r="D927" s="5"/>
      <c r="E927" s="5"/>
      <c r="F927" s="8"/>
      <c r="G927" s="8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2:26" ht="11.25" customHeight="1">
      <c r="B928" s="5"/>
      <c r="C928" s="5"/>
      <c r="D928" s="5"/>
      <c r="E928" s="5"/>
      <c r="F928" s="8"/>
      <c r="G928" s="8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2:26" ht="11.25" customHeight="1">
      <c r="B929" s="5"/>
      <c r="C929" s="5"/>
      <c r="D929" s="5"/>
      <c r="E929" s="5"/>
      <c r="F929" s="8"/>
      <c r="G929" s="8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2:26" ht="11.25" customHeight="1">
      <c r="B930" s="5"/>
      <c r="C930" s="5"/>
      <c r="D930" s="5"/>
      <c r="E930" s="5"/>
      <c r="F930" s="8"/>
      <c r="G930" s="8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2:26" ht="11.25" customHeight="1">
      <c r="B931" s="5"/>
      <c r="C931" s="5"/>
      <c r="D931" s="5"/>
      <c r="E931" s="5"/>
      <c r="F931" s="8"/>
      <c r="G931" s="8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2:26" ht="11.25" customHeight="1">
      <c r="B932" s="5"/>
      <c r="C932" s="5"/>
      <c r="D932" s="5"/>
      <c r="E932" s="5"/>
      <c r="F932" s="8"/>
      <c r="G932" s="8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2:26" ht="11.25" customHeight="1">
      <c r="B933" s="5"/>
      <c r="C933" s="5"/>
      <c r="D933" s="5"/>
      <c r="E933" s="5"/>
      <c r="F933" s="8"/>
      <c r="G933" s="8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2:26" ht="11.25" customHeight="1">
      <c r="B934" s="5"/>
      <c r="C934" s="5"/>
      <c r="D934" s="5"/>
      <c r="E934" s="5"/>
      <c r="F934" s="8"/>
      <c r="G934" s="8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2:26" ht="11.25" customHeight="1">
      <c r="B935" s="5"/>
      <c r="C935" s="5"/>
      <c r="D935" s="5"/>
      <c r="E935" s="5"/>
      <c r="F935" s="8"/>
      <c r="G935" s="8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2:26" ht="11.25" customHeight="1">
      <c r="B936" s="5"/>
      <c r="C936" s="5"/>
      <c r="D936" s="5"/>
      <c r="E936" s="5"/>
      <c r="F936" s="8"/>
      <c r="G936" s="8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2:26" ht="11.25" customHeight="1">
      <c r="B937" s="5"/>
      <c r="C937" s="5"/>
      <c r="D937" s="5"/>
      <c r="E937" s="5"/>
      <c r="F937" s="8"/>
      <c r="G937" s="8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2:26" ht="11.25" customHeight="1">
      <c r="B938" s="5"/>
      <c r="C938" s="5"/>
      <c r="D938" s="5"/>
      <c r="E938" s="5"/>
      <c r="F938" s="8"/>
      <c r="G938" s="8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2:26" ht="11.25" customHeight="1">
      <c r="B939" s="5"/>
      <c r="C939" s="5"/>
      <c r="D939" s="5"/>
      <c r="E939" s="5"/>
      <c r="F939" s="8"/>
      <c r="G939" s="8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2:26" ht="11.25" customHeight="1">
      <c r="B940" s="5"/>
      <c r="C940" s="5"/>
      <c r="D940" s="5"/>
      <c r="E940" s="5"/>
      <c r="F940" s="8"/>
      <c r="G940" s="8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2:26" ht="11.25" customHeight="1">
      <c r="B941" s="5"/>
      <c r="C941" s="5"/>
      <c r="D941" s="5"/>
      <c r="E941" s="5"/>
      <c r="F941" s="8"/>
      <c r="G941" s="8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2:26" ht="11.25" customHeight="1">
      <c r="B942" s="5"/>
      <c r="C942" s="5"/>
      <c r="D942" s="5"/>
      <c r="E942" s="5"/>
      <c r="F942" s="8"/>
      <c r="G942" s="8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2:26" ht="11.25" customHeight="1">
      <c r="B943" s="5"/>
      <c r="C943" s="5"/>
      <c r="D943" s="5"/>
      <c r="E943" s="5"/>
      <c r="F943" s="8"/>
      <c r="G943" s="8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2:26" ht="11.25" customHeight="1">
      <c r="B944" s="5"/>
      <c r="C944" s="5"/>
      <c r="D944" s="5"/>
      <c r="E944" s="5"/>
      <c r="F944" s="8"/>
      <c r="G944" s="8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2:26" ht="11.25" customHeight="1">
      <c r="B945" s="5"/>
      <c r="C945" s="5"/>
      <c r="D945" s="5"/>
      <c r="E945" s="5"/>
      <c r="F945" s="8"/>
      <c r="G945" s="8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2:26" ht="11.25" customHeight="1">
      <c r="B946" s="5"/>
      <c r="C946" s="5"/>
      <c r="D946" s="5"/>
      <c r="E946" s="5"/>
      <c r="F946" s="8"/>
      <c r="G946" s="8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2:26" ht="11.25" customHeight="1">
      <c r="B947" s="5"/>
      <c r="C947" s="5"/>
      <c r="D947" s="5"/>
      <c r="E947" s="5"/>
      <c r="F947" s="8"/>
      <c r="G947" s="8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2:26" ht="11.25" customHeight="1">
      <c r="B948" s="5"/>
      <c r="C948" s="5"/>
      <c r="D948" s="5"/>
      <c r="E948" s="5"/>
      <c r="F948" s="8"/>
      <c r="G948" s="8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2:26" ht="11.25" customHeight="1">
      <c r="B949" s="5"/>
      <c r="C949" s="5"/>
      <c r="D949" s="5"/>
      <c r="E949" s="5"/>
      <c r="F949" s="8"/>
      <c r="G949" s="8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2:26" ht="11.25" customHeight="1">
      <c r="B950" s="5"/>
      <c r="C950" s="5"/>
      <c r="D950" s="5"/>
      <c r="E950" s="5"/>
      <c r="F950" s="8"/>
      <c r="G950" s="8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2:26" ht="11.25" customHeight="1">
      <c r="B951" s="5"/>
      <c r="C951" s="5"/>
      <c r="D951" s="5"/>
      <c r="E951" s="5"/>
      <c r="F951" s="8"/>
      <c r="G951" s="8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2:26" ht="11.25" customHeight="1">
      <c r="B952" s="5"/>
      <c r="C952" s="5"/>
      <c r="D952" s="5"/>
      <c r="E952" s="5"/>
      <c r="F952" s="8"/>
      <c r="G952" s="8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2:26" ht="11.25" customHeight="1">
      <c r="B953" s="5"/>
      <c r="C953" s="5"/>
      <c r="D953" s="5"/>
      <c r="E953" s="5"/>
      <c r="F953" s="8"/>
      <c r="G953" s="8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2:26" ht="11.25" customHeight="1">
      <c r="B954" s="5"/>
      <c r="C954" s="5"/>
      <c r="D954" s="5"/>
      <c r="E954" s="5"/>
      <c r="F954" s="8"/>
      <c r="G954" s="8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2:26" ht="11.25" customHeight="1">
      <c r="B955" s="5"/>
      <c r="C955" s="5"/>
      <c r="D955" s="5"/>
      <c r="E955" s="5"/>
      <c r="F955" s="8"/>
      <c r="G955" s="8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2:26" ht="11.25" customHeight="1">
      <c r="B956" s="5"/>
      <c r="C956" s="5"/>
      <c r="D956" s="5"/>
      <c r="E956" s="5"/>
      <c r="F956" s="8"/>
      <c r="G956" s="8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2:26" ht="11.25" customHeight="1">
      <c r="B957" s="5"/>
      <c r="C957" s="5"/>
      <c r="D957" s="5"/>
      <c r="E957" s="5"/>
      <c r="F957" s="8"/>
      <c r="G957" s="8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2:26" ht="11.25" customHeight="1">
      <c r="B958" s="5"/>
      <c r="C958" s="5"/>
      <c r="D958" s="5"/>
      <c r="E958" s="5"/>
      <c r="F958" s="8"/>
      <c r="G958" s="8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2:26" ht="11.25" customHeight="1">
      <c r="B959" s="5"/>
      <c r="C959" s="5"/>
      <c r="D959" s="5"/>
      <c r="E959" s="5"/>
      <c r="F959" s="8"/>
      <c r="G959" s="8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2:26" ht="11.25" customHeight="1">
      <c r="B960" s="5"/>
      <c r="C960" s="5"/>
      <c r="D960" s="5"/>
      <c r="E960" s="5"/>
      <c r="F960" s="8"/>
      <c r="G960" s="8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2:26" ht="11.25" customHeight="1">
      <c r="B961" s="5"/>
      <c r="C961" s="5"/>
      <c r="D961" s="5"/>
      <c r="E961" s="5"/>
      <c r="F961" s="8"/>
      <c r="G961" s="8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2:26" ht="11.25" customHeight="1">
      <c r="B962" s="5"/>
      <c r="C962" s="5"/>
      <c r="D962" s="5"/>
      <c r="E962" s="5"/>
      <c r="F962" s="8"/>
      <c r="G962" s="8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2:26" ht="11.25" customHeight="1">
      <c r="B963" s="5"/>
      <c r="C963" s="5"/>
      <c r="D963" s="5"/>
      <c r="E963" s="5"/>
      <c r="F963" s="8"/>
      <c r="G963" s="8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2:26" ht="11.25" customHeight="1">
      <c r="B964" s="5"/>
      <c r="C964" s="5"/>
      <c r="D964" s="5"/>
      <c r="E964" s="5"/>
      <c r="F964" s="8"/>
      <c r="G964" s="8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2:26" ht="11.25" customHeight="1">
      <c r="B965" s="5"/>
      <c r="C965" s="5"/>
      <c r="D965" s="5"/>
      <c r="E965" s="5"/>
      <c r="F965" s="8"/>
      <c r="G965" s="8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2:26" ht="11.25" customHeight="1">
      <c r="B966" s="5"/>
      <c r="C966" s="5"/>
      <c r="D966" s="5"/>
      <c r="E966" s="5"/>
      <c r="F966" s="8"/>
      <c r="G966" s="8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2:26" ht="11.25" customHeight="1">
      <c r="B967" s="5"/>
      <c r="C967" s="5"/>
      <c r="D967" s="5"/>
      <c r="E967" s="5"/>
      <c r="F967" s="8"/>
      <c r="G967" s="8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2:26" ht="11.25" customHeight="1">
      <c r="B968" s="5"/>
      <c r="C968" s="5"/>
      <c r="D968" s="5"/>
      <c r="E968" s="5"/>
      <c r="F968" s="8"/>
      <c r="G968" s="8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2:26" ht="11.25" customHeight="1">
      <c r="B969" s="5"/>
      <c r="C969" s="5"/>
      <c r="D969" s="5"/>
      <c r="E969" s="5"/>
      <c r="F969" s="8"/>
      <c r="G969" s="8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2:26" ht="11.25" customHeight="1">
      <c r="B970" s="5"/>
      <c r="C970" s="5"/>
      <c r="D970" s="5"/>
      <c r="E970" s="5"/>
      <c r="F970" s="8"/>
      <c r="G970" s="8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2:26" ht="11.25" customHeight="1">
      <c r="B971" s="5"/>
      <c r="C971" s="5"/>
      <c r="D971" s="5"/>
      <c r="E971" s="5"/>
      <c r="F971" s="8"/>
      <c r="G971" s="8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2:26" ht="11.25" customHeight="1">
      <c r="B972" s="5"/>
      <c r="C972" s="5"/>
      <c r="D972" s="5"/>
      <c r="E972" s="5"/>
      <c r="F972" s="8"/>
      <c r="G972" s="8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2:26" ht="11.25" customHeight="1">
      <c r="B973" s="5"/>
      <c r="C973" s="5"/>
      <c r="D973" s="5"/>
      <c r="E973" s="5"/>
      <c r="F973" s="8"/>
      <c r="G973" s="8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2:26" ht="11.25" customHeight="1">
      <c r="B974" s="5"/>
      <c r="C974" s="5"/>
      <c r="D974" s="5"/>
      <c r="E974" s="5"/>
      <c r="F974" s="8"/>
      <c r="G974" s="8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2:26" ht="11.25" customHeight="1">
      <c r="B975" s="5"/>
      <c r="C975" s="5"/>
      <c r="D975" s="5"/>
      <c r="E975" s="5"/>
      <c r="F975" s="8"/>
      <c r="G975" s="8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2:26" ht="11.25" customHeight="1">
      <c r="B976" s="5"/>
      <c r="C976" s="5"/>
      <c r="D976" s="5"/>
      <c r="E976" s="5"/>
      <c r="F976" s="8"/>
      <c r="G976" s="8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2:26" ht="11.25" customHeight="1">
      <c r="B977" s="5"/>
      <c r="C977" s="5"/>
      <c r="D977" s="5"/>
      <c r="E977" s="5"/>
      <c r="F977" s="8"/>
      <c r="G977" s="8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2:26" ht="11.25" customHeight="1">
      <c r="B978" s="5"/>
      <c r="C978" s="5"/>
      <c r="D978" s="5"/>
      <c r="E978" s="5"/>
      <c r="F978" s="8"/>
      <c r="G978" s="8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2:26" ht="11.25" customHeight="1">
      <c r="B979" s="5"/>
      <c r="C979" s="5"/>
      <c r="D979" s="5"/>
      <c r="E979" s="5"/>
      <c r="F979" s="8"/>
      <c r="G979" s="8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2:26" ht="11.25" customHeight="1">
      <c r="B980" s="5"/>
      <c r="C980" s="5"/>
      <c r="D980" s="5"/>
      <c r="E980" s="5"/>
      <c r="F980" s="8"/>
      <c r="G980" s="8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2:26" ht="11.25" customHeight="1">
      <c r="B981" s="5"/>
      <c r="C981" s="5"/>
      <c r="D981" s="5"/>
      <c r="E981" s="5"/>
      <c r="F981" s="8"/>
      <c r="G981" s="8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2:26" ht="11.25" customHeight="1">
      <c r="B982" s="5"/>
      <c r="C982" s="5"/>
      <c r="D982" s="5"/>
      <c r="E982" s="5"/>
      <c r="F982" s="8"/>
      <c r="G982" s="8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2:26" ht="11.25" customHeight="1">
      <c r="B983" s="5"/>
      <c r="C983" s="5"/>
      <c r="D983" s="5"/>
      <c r="E983" s="5"/>
      <c r="F983" s="8"/>
      <c r="G983" s="8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2:26" ht="11.25" customHeight="1">
      <c r="B984" s="5"/>
      <c r="C984" s="5"/>
      <c r="D984" s="5"/>
      <c r="E984" s="5"/>
      <c r="F984" s="8"/>
      <c r="G984" s="8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2:26" ht="11.25" customHeight="1">
      <c r="B985" s="5"/>
      <c r="C985" s="5"/>
      <c r="D985" s="5"/>
      <c r="E985" s="5"/>
      <c r="F985" s="8"/>
      <c r="G985" s="8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2:26" ht="11.25" customHeight="1">
      <c r="B986" s="5"/>
      <c r="C986" s="5"/>
      <c r="D986" s="5"/>
      <c r="E986" s="5"/>
      <c r="F986" s="8"/>
      <c r="G986" s="8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2:26" ht="11.25" customHeight="1">
      <c r="B987" s="5"/>
      <c r="C987" s="5"/>
      <c r="D987" s="5"/>
      <c r="E987" s="5"/>
      <c r="F987" s="8"/>
      <c r="G987" s="8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2:26" ht="11.25" customHeight="1">
      <c r="B988" s="5"/>
      <c r="C988" s="5"/>
      <c r="D988" s="5"/>
      <c r="E988" s="5"/>
      <c r="F988" s="8"/>
      <c r="G988" s="8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2:26" ht="11.25" customHeight="1">
      <c r="B989" s="5"/>
      <c r="C989" s="5"/>
      <c r="D989" s="5"/>
      <c r="E989" s="5"/>
      <c r="F989" s="8"/>
      <c r="G989" s="8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2:26" ht="11.25" customHeight="1">
      <c r="B990" s="5"/>
      <c r="C990" s="5"/>
      <c r="D990" s="5"/>
      <c r="E990" s="5"/>
      <c r="F990" s="8"/>
      <c r="G990" s="8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2:26" ht="11.25" customHeight="1">
      <c r="B991" s="5"/>
      <c r="C991" s="5"/>
      <c r="D991" s="5"/>
      <c r="E991" s="5"/>
      <c r="F991" s="8"/>
      <c r="G991" s="8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2:26" ht="11.25" customHeight="1">
      <c r="B992" s="5"/>
      <c r="C992" s="5"/>
      <c r="D992" s="5"/>
      <c r="E992" s="5"/>
      <c r="F992" s="8"/>
      <c r="G992" s="8"/>
    </row>
  </sheetData>
  <mergeCells count="6">
    <mergeCell ref="A15:E15"/>
    <mergeCell ref="A2:G2"/>
    <mergeCell ref="A6:E6"/>
    <mergeCell ref="A1:G1"/>
    <mergeCell ref="A9:G9"/>
    <mergeCell ref="A13:E13"/>
  </mergeCells>
  <phoneticPr fontId="33" type="noConversion"/>
  <pageMargins left="0.511811024" right="0.511811024" top="0.78740157499999996" bottom="0.78740157499999996" header="0" footer="0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B1063"/>
  <sheetViews>
    <sheetView zoomScaleNormal="100" workbookViewId="0">
      <selection activeCell="G5" sqref="G5"/>
    </sheetView>
  </sheetViews>
  <sheetFormatPr defaultColWidth="0" defaultRowHeight="15" zeroHeight="1"/>
  <cols>
    <col min="1" max="1" width="6.28515625" style="9" bestFit="1" customWidth="1"/>
    <col min="2" max="2" width="43.5703125" style="9" customWidth="1"/>
    <col min="3" max="3" width="9.85546875" style="9" bestFit="1" customWidth="1"/>
    <col min="4" max="4" width="13" style="9" customWidth="1"/>
    <col min="5" max="6" width="15.28515625" style="9" customWidth="1"/>
    <col min="7" max="7" width="27.7109375" style="9" customWidth="1"/>
    <col min="8" max="8" width="15.28515625" style="9" customWidth="1"/>
    <col min="9" max="9" width="13.85546875" style="9" customWidth="1"/>
    <col min="10" max="10" width="17.140625" style="9" customWidth="1"/>
    <col min="11" max="11" width="2.140625" style="9" customWidth="1"/>
    <col min="12" max="28" width="8.7109375" style="9" hidden="1" customWidth="1"/>
    <col min="29" max="16384" width="14.42578125" style="9" hidden="1"/>
  </cols>
  <sheetData>
    <row r="1" spans="1:10" ht="15.75">
      <c r="A1" s="550" t="s">
        <v>404</v>
      </c>
      <c r="B1" s="550"/>
      <c r="C1" s="550"/>
      <c r="D1" s="550"/>
      <c r="E1" s="550"/>
      <c r="F1" s="550"/>
      <c r="G1" s="550"/>
      <c r="H1" s="550"/>
      <c r="I1" s="550"/>
      <c r="J1" s="550"/>
    </row>
    <row r="2" spans="1:10" ht="15.75">
      <c r="A2" s="550" t="s">
        <v>327</v>
      </c>
      <c r="B2" s="550"/>
      <c r="C2" s="550"/>
      <c r="D2" s="550"/>
      <c r="E2" s="550"/>
      <c r="F2" s="550"/>
      <c r="G2" s="550"/>
      <c r="H2" s="550"/>
      <c r="I2" s="550"/>
      <c r="J2" s="550"/>
    </row>
    <row r="3" spans="1:10" ht="15.75">
      <c r="A3" s="246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552" t="s">
        <v>143</v>
      </c>
      <c r="B4" s="553"/>
      <c r="C4" s="553"/>
      <c r="D4" s="553"/>
      <c r="E4" s="553"/>
      <c r="F4" s="553"/>
      <c r="G4" s="553"/>
      <c r="H4" s="553"/>
      <c r="I4" s="553"/>
      <c r="J4" s="554"/>
    </row>
    <row r="5" spans="1:10" ht="78.75">
      <c r="A5" s="555" t="s">
        <v>135</v>
      </c>
      <c r="B5" s="555" t="s">
        <v>134</v>
      </c>
      <c r="C5" s="555" t="s">
        <v>349</v>
      </c>
      <c r="D5" s="555" t="s">
        <v>133</v>
      </c>
      <c r="E5" s="555" t="s">
        <v>293</v>
      </c>
      <c r="F5" s="235" t="s">
        <v>309</v>
      </c>
      <c r="G5" s="197" t="s">
        <v>304</v>
      </c>
      <c r="H5" s="555" t="s">
        <v>138</v>
      </c>
      <c r="I5" s="555" t="s">
        <v>137</v>
      </c>
      <c r="J5" s="555" t="s">
        <v>298</v>
      </c>
    </row>
    <row r="6" spans="1:10" ht="31.5">
      <c r="A6" s="555"/>
      <c r="B6" s="555"/>
      <c r="C6" s="555"/>
      <c r="D6" s="555"/>
      <c r="E6" s="555"/>
      <c r="F6" s="236" t="s">
        <v>308</v>
      </c>
      <c r="G6" s="198" t="s">
        <v>310</v>
      </c>
      <c r="H6" s="555"/>
      <c r="I6" s="555"/>
      <c r="J6" s="555"/>
    </row>
    <row r="7" spans="1:10" ht="48" customHeight="1">
      <c r="A7" s="329">
        <v>1</v>
      </c>
      <c r="B7" s="254" t="s">
        <v>386</v>
      </c>
      <c r="C7" s="280">
        <v>614124</v>
      </c>
      <c r="D7" s="329" t="s">
        <v>365</v>
      </c>
      <c r="E7" s="549">
        <v>4</v>
      </c>
      <c r="F7" s="278">
        <v>89.95</v>
      </c>
      <c r="G7" s="278">
        <v>144</v>
      </c>
      <c r="H7" s="255">
        <f>STDEVA(F7:G7)/AVERAGE(F7:G7)</f>
        <v>0.3267289722003246</v>
      </c>
      <c r="I7" s="256">
        <f>ROUND(AVERAGE(F7:G7),2)</f>
        <v>116.98</v>
      </c>
      <c r="J7" s="256">
        <f>I7*E7</f>
        <v>467.92</v>
      </c>
    </row>
    <row r="8" spans="1:10" ht="42.75">
      <c r="A8" s="329"/>
      <c r="B8" s="254" t="s">
        <v>387</v>
      </c>
      <c r="C8" s="280">
        <v>240073</v>
      </c>
      <c r="D8" s="329"/>
      <c r="E8" s="549"/>
      <c r="F8" s="278">
        <v>457.46</v>
      </c>
      <c r="G8" s="278">
        <v>405.95</v>
      </c>
      <c r="H8" s="255">
        <f t="shared" ref="H8:H14" si="0">STDEVA(F8:G8)/AVERAGE(F8:G8)</f>
        <v>8.4370276691071583E-2</v>
      </c>
      <c r="I8" s="256">
        <f t="shared" ref="I8:I14" si="1">ROUND(AVERAGE(F8:G8),2)</f>
        <v>431.71</v>
      </c>
      <c r="J8" s="256">
        <f>I8*E7</f>
        <v>1726.84</v>
      </c>
    </row>
    <row r="9" spans="1:10" s="271" customFormat="1">
      <c r="A9" s="280">
        <v>2</v>
      </c>
      <c r="B9" s="254" t="s">
        <v>328</v>
      </c>
      <c r="C9" s="280">
        <v>603607</v>
      </c>
      <c r="D9" s="280" t="s">
        <v>365</v>
      </c>
      <c r="E9" s="281">
        <v>4</v>
      </c>
      <c r="F9" s="278">
        <v>33.5</v>
      </c>
      <c r="G9" s="278">
        <v>59.66</v>
      </c>
      <c r="H9" s="255">
        <f t="shared" si="0"/>
        <v>0.39712136959725397</v>
      </c>
      <c r="I9" s="256">
        <f t="shared" si="1"/>
        <v>46.58</v>
      </c>
      <c r="J9" s="256">
        <f t="shared" ref="J9:J14" si="2">I9*E9</f>
        <v>186.32</v>
      </c>
    </row>
    <row r="10" spans="1:10" s="271" customFormat="1" ht="42.75">
      <c r="A10" s="280">
        <v>3</v>
      </c>
      <c r="B10" s="254" t="s">
        <v>367</v>
      </c>
      <c r="C10" s="280">
        <v>600665</v>
      </c>
      <c r="D10" s="280" t="s">
        <v>365</v>
      </c>
      <c r="E10" s="281">
        <v>4</v>
      </c>
      <c r="F10" s="278">
        <v>89.5</v>
      </c>
      <c r="G10" s="278">
        <v>143.19</v>
      </c>
      <c r="H10" s="255">
        <f t="shared" si="0"/>
        <v>0.32631022460703707</v>
      </c>
      <c r="I10" s="256">
        <f t="shared" si="1"/>
        <v>116.35</v>
      </c>
      <c r="J10" s="256">
        <f t="shared" si="2"/>
        <v>465.4</v>
      </c>
    </row>
    <row r="11" spans="1:10" s="271" customFormat="1" ht="28.5">
      <c r="A11" s="280">
        <v>4</v>
      </c>
      <c r="B11" s="254" t="s">
        <v>368</v>
      </c>
      <c r="C11" s="280">
        <v>382962</v>
      </c>
      <c r="D11" s="280" t="s">
        <v>365</v>
      </c>
      <c r="E11" s="281">
        <v>2</v>
      </c>
      <c r="F11" s="278">
        <v>72.5</v>
      </c>
      <c r="G11" s="278">
        <v>72.12</v>
      </c>
      <c r="H11" s="255">
        <f t="shared" si="0"/>
        <v>3.7159532132607499E-3</v>
      </c>
      <c r="I11" s="256">
        <f t="shared" si="1"/>
        <v>72.31</v>
      </c>
      <c r="J11" s="256">
        <f t="shared" si="2"/>
        <v>144.62</v>
      </c>
    </row>
    <row r="12" spans="1:10" s="271" customFormat="1">
      <c r="A12" s="280">
        <v>5</v>
      </c>
      <c r="B12" s="254" t="s">
        <v>369</v>
      </c>
      <c r="C12" s="280">
        <v>463850</v>
      </c>
      <c r="D12" s="280" t="s">
        <v>365</v>
      </c>
      <c r="E12" s="281">
        <v>4</v>
      </c>
      <c r="F12" s="278">
        <v>11.5</v>
      </c>
      <c r="G12" s="278">
        <v>26.6</v>
      </c>
      <c r="H12" s="255">
        <f t="shared" si="0"/>
        <v>0.56048883968067542</v>
      </c>
      <c r="I12" s="256">
        <f t="shared" si="1"/>
        <v>19.05</v>
      </c>
      <c r="J12" s="256">
        <f t="shared" si="2"/>
        <v>76.2</v>
      </c>
    </row>
    <row r="13" spans="1:10" s="271" customFormat="1" ht="42.75">
      <c r="A13" s="280">
        <v>6</v>
      </c>
      <c r="B13" s="254" t="s">
        <v>355</v>
      </c>
      <c r="C13" s="280">
        <v>614123</v>
      </c>
      <c r="D13" s="280" t="s">
        <v>365</v>
      </c>
      <c r="E13" s="281">
        <v>2</v>
      </c>
      <c r="F13" s="278">
        <v>296.89999999999998</v>
      </c>
      <c r="G13" s="278">
        <v>246.95</v>
      </c>
      <c r="H13" s="255">
        <f t="shared" si="0"/>
        <v>0.12988869622237031</v>
      </c>
      <c r="I13" s="256">
        <f t="shared" si="1"/>
        <v>271.93</v>
      </c>
      <c r="J13" s="256">
        <f t="shared" si="2"/>
        <v>543.86</v>
      </c>
    </row>
    <row r="14" spans="1:10" s="271" customFormat="1">
      <c r="A14" s="280">
        <v>7</v>
      </c>
      <c r="B14" s="254" t="s">
        <v>348</v>
      </c>
      <c r="C14" s="280">
        <v>10111</v>
      </c>
      <c r="D14" s="280" t="s">
        <v>365</v>
      </c>
      <c r="E14" s="281">
        <v>2</v>
      </c>
      <c r="F14" s="278">
        <v>7.88</v>
      </c>
      <c r="G14" s="278">
        <v>26.96</v>
      </c>
      <c r="H14" s="255">
        <f t="shared" si="0"/>
        <v>0.77448894288400227</v>
      </c>
      <c r="I14" s="256">
        <f t="shared" si="1"/>
        <v>17.420000000000002</v>
      </c>
      <c r="J14" s="256">
        <f t="shared" si="2"/>
        <v>34.840000000000003</v>
      </c>
    </row>
    <row r="15" spans="1:10" ht="15.75">
      <c r="A15" s="550" t="s">
        <v>350</v>
      </c>
      <c r="B15" s="550"/>
      <c r="C15" s="550"/>
      <c r="D15" s="550"/>
      <c r="E15" s="550"/>
      <c r="F15" s="550"/>
      <c r="G15" s="550"/>
      <c r="H15" s="550"/>
      <c r="I15" s="551">
        <f>SUM(J7:J14)</f>
        <v>3646</v>
      </c>
      <c r="J15" s="551"/>
    </row>
    <row r="16" spans="1:10" ht="15.75">
      <c r="A16" s="540" t="s">
        <v>144</v>
      </c>
      <c r="B16" s="541"/>
      <c r="C16" s="541"/>
      <c r="D16" s="541"/>
      <c r="E16" s="541"/>
      <c r="F16" s="541"/>
      <c r="G16" s="541"/>
      <c r="H16" s="542"/>
      <c r="I16" s="543">
        <f>I15/30</f>
        <v>121.53333333333333</v>
      </c>
      <c r="J16" s="544"/>
    </row>
    <row r="17" spans="1:10">
      <c r="A17" s="545" t="s">
        <v>329</v>
      </c>
      <c r="B17" s="546"/>
      <c r="C17" s="546"/>
      <c r="D17" s="546"/>
      <c r="E17" s="546"/>
      <c r="F17" s="546"/>
      <c r="G17" s="546"/>
      <c r="H17" s="546"/>
      <c r="I17" s="547"/>
      <c r="J17" s="249">
        <v>1</v>
      </c>
    </row>
    <row r="18" spans="1:10">
      <c r="A18" s="545" t="s">
        <v>180</v>
      </c>
      <c r="B18" s="546"/>
      <c r="C18" s="546"/>
      <c r="D18" s="546"/>
      <c r="E18" s="546"/>
      <c r="F18" s="546"/>
      <c r="G18" s="546"/>
      <c r="H18" s="546"/>
      <c r="I18" s="547"/>
      <c r="J18" s="250">
        <f>I16/J17</f>
        <v>121.53333333333333</v>
      </c>
    </row>
    <row r="19" spans="1:10">
      <c r="A19" s="257"/>
      <c r="B19" s="257"/>
      <c r="C19" s="257"/>
      <c r="D19" s="257"/>
      <c r="E19" s="257"/>
      <c r="F19" s="257"/>
      <c r="G19" s="257"/>
      <c r="H19" s="257"/>
      <c r="I19" s="257"/>
      <c r="J19" s="258"/>
    </row>
    <row r="20" spans="1:10">
      <c r="A20" s="552" t="s">
        <v>370</v>
      </c>
      <c r="B20" s="553"/>
      <c r="C20" s="553"/>
      <c r="D20" s="553"/>
      <c r="E20" s="553"/>
      <c r="F20" s="553"/>
      <c r="G20" s="553"/>
      <c r="H20" s="553"/>
      <c r="I20" s="553"/>
      <c r="J20" s="554"/>
    </row>
    <row r="21" spans="1:10" ht="78.75">
      <c r="A21" s="555" t="s">
        <v>135</v>
      </c>
      <c r="B21" s="555" t="s">
        <v>134</v>
      </c>
      <c r="C21" s="555" t="s">
        <v>349</v>
      </c>
      <c r="D21" s="555" t="s">
        <v>133</v>
      </c>
      <c r="E21" s="555" t="s">
        <v>293</v>
      </c>
      <c r="F21" s="235" t="s">
        <v>309</v>
      </c>
      <c r="G21" s="197" t="s">
        <v>304</v>
      </c>
      <c r="H21" s="555" t="s">
        <v>138</v>
      </c>
      <c r="I21" s="555" t="s">
        <v>137</v>
      </c>
      <c r="J21" s="555" t="s">
        <v>298</v>
      </c>
    </row>
    <row r="22" spans="1:10" ht="31.5">
      <c r="A22" s="555"/>
      <c r="B22" s="555"/>
      <c r="C22" s="555"/>
      <c r="D22" s="555"/>
      <c r="E22" s="555"/>
      <c r="F22" s="236" t="s">
        <v>308</v>
      </c>
      <c r="G22" s="198" t="s">
        <v>310</v>
      </c>
      <c r="H22" s="555"/>
      <c r="I22" s="555"/>
      <c r="J22" s="555"/>
    </row>
    <row r="23" spans="1:10" ht="30" customHeight="1">
      <c r="A23" s="253">
        <v>8</v>
      </c>
      <c r="B23" s="254" t="s">
        <v>356</v>
      </c>
      <c r="C23" s="260">
        <v>99830</v>
      </c>
      <c r="D23" s="280" t="s">
        <v>365</v>
      </c>
      <c r="E23" s="281">
        <v>1</v>
      </c>
      <c r="F23" s="252">
        <v>5090</v>
      </c>
      <c r="G23" s="278">
        <v>5826.33</v>
      </c>
      <c r="H23" s="255">
        <f>STDEVA(F23:G23)/AVERAGE(F23:G23)</f>
        <v>9.5391754589883318E-2</v>
      </c>
      <c r="I23" s="256">
        <f>ROUND(AVERAGE(F23:G23),2)</f>
        <v>5458.17</v>
      </c>
      <c r="J23" s="256">
        <f>I23*E23</f>
        <v>5458.17</v>
      </c>
    </row>
    <row r="24" spans="1:10">
      <c r="A24" s="253">
        <v>9</v>
      </c>
      <c r="B24" s="254" t="s">
        <v>366</v>
      </c>
      <c r="C24" s="260">
        <v>242723</v>
      </c>
      <c r="D24" s="280" t="s">
        <v>365</v>
      </c>
      <c r="E24" s="281">
        <v>6</v>
      </c>
      <c r="F24" s="252">
        <v>9.11</v>
      </c>
      <c r="G24" s="278">
        <v>6.81</v>
      </c>
      <c r="H24" s="255">
        <f t="shared" ref="H24:H29" si="3">STDEVA(F24:G24)/AVERAGE(F24:G24)</f>
        <v>0.2043147734584255</v>
      </c>
      <c r="I24" s="256">
        <f t="shared" ref="I24:I29" si="4">ROUND(AVERAGE(F24:G24),2)</f>
        <v>7.96</v>
      </c>
      <c r="J24" s="256">
        <f t="shared" ref="J24:J29" si="5">I24*E24</f>
        <v>47.76</v>
      </c>
    </row>
    <row r="25" spans="1:10">
      <c r="A25" s="253">
        <v>10</v>
      </c>
      <c r="B25" s="253" t="s">
        <v>357</v>
      </c>
      <c r="C25" s="277">
        <v>150348</v>
      </c>
      <c r="D25" s="280" t="s">
        <v>365</v>
      </c>
      <c r="E25" s="281">
        <v>1</v>
      </c>
      <c r="F25" s="252">
        <v>2060</v>
      </c>
      <c r="G25" s="278">
        <v>1250</v>
      </c>
      <c r="H25" s="255">
        <f t="shared" si="3"/>
        <v>0.34607643067136162</v>
      </c>
      <c r="I25" s="256">
        <f t="shared" si="4"/>
        <v>1655</v>
      </c>
      <c r="J25" s="256">
        <f t="shared" si="5"/>
        <v>1655</v>
      </c>
    </row>
    <row r="26" spans="1:10">
      <c r="A26" s="253">
        <v>11</v>
      </c>
      <c r="B26" s="254" t="s">
        <v>358</v>
      </c>
      <c r="C26" s="260">
        <v>150170</v>
      </c>
      <c r="D26" s="280" t="s">
        <v>365</v>
      </c>
      <c r="E26" s="281">
        <v>1</v>
      </c>
      <c r="F26" s="252">
        <v>136.5</v>
      </c>
      <c r="G26" s="278">
        <v>157.69999999999999</v>
      </c>
      <c r="H26" s="255">
        <f t="shared" si="3"/>
        <v>0.10190797934163698</v>
      </c>
      <c r="I26" s="256">
        <f t="shared" si="4"/>
        <v>147.1</v>
      </c>
      <c r="J26" s="256">
        <f t="shared" si="5"/>
        <v>147.1</v>
      </c>
    </row>
    <row r="27" spans="1:10">
      <c r="A27" s="253">
        <v>12</v>
      </c>
      <c r="B27" s="254" t="s">
        <v>359</v>
      </c>
      <c r="C27" s="260">
        <v>430628</v>
      </c>
      <c r="D27" s="280" t="s">
        <v>365</v>
      </c>
      <c r="E27" s="281">
        <v>1</v>
      </c>
      <c r="F27" s="252">
        <v>65.849999999999994</v>
      </c>
      <c r="G27" s="278">
        <v>111.98</v>
      </c>
      <c r="H27" s="255">
        <f t="shared" si="3"/>
        <v>0.36685413952803808</v>
      </c>
      <c r="I27" s="256">
        <f t="shared" si="4"/>
        <v>88.92</v>
      </c>
      <c r="J27" s="256">
        <f t="shared" si="5"/>
        <v>88.92</v>
      </c>
    </row>
    <row r="28" spans="1:10">
      <c r="A28" s="253">
        <v>13</v>
      </c>
      <c r="B28" s="254" t="s">
        <v>360</v>
      </c>
      <c r="C28" s="260">
        <v>605162</v>
      </c>
      <c r="D28" s="280" t="s">
        <v>365</v>
      </c>
      <c r="E28" s="281">
        <v>1</v>
      </c>
      <c r="F28" s="252">
        <v>708.5</v>
      </c>
      <c r="G28" s="278">
        <v>689.33</v>
      </c>
      <c r="H28" s="255">
        <f t="shared" si="3"/>
        <v>1.9394686042431608E-2</v>
      </c>
      <c r="I28" s="256">
        <f t="shared" si="4"/>
        <v>698.92</v>
      </c>
      <c r="J28" s="256">
        <f t="shared" si="5"/>
        <v>698.92</v>
      </c>
    </row>
    <row r="29" spans="1:10">
      <c r="A29" s="253">
        <v>14</v>
      </c>
      <c r="B29" s="254" t="s">
        <v>361</v>
      </c>
      <c r="C29" s="260">
        <v>403271</v>
      </c>
      <c r="D29" s="280" t="s">
        <v>365</v>
      </c>
      <c r="E29" s="281">
        <v>2</v>
      </c>
      <c r="F29" s="252">
        <v>10.62</v>
      </c>
      <c r="G29" s="278">
        <v>31.88</v>
      </c>
      <c r="H29" s="255">
        <f t="shared" si="3"/>
        <v>0.70743953731887055</v>
      </c>
      <c r="I29" s="256">
        <f t="shared" si="4"/>
        <v>21.25</v>
      </c>
      <c r="J29" s="256">
        <f t="shared" si="5"/>
        <v>42.5</v>
      </c>
    </row>
    <row r="30" spans="1:10" ht="15.75">
      <c r="A30" s="550" t="s">
        <v>371</v>
      </c>
      <c r="B30" s="550"/>
      <c r="C30" s="550"/>
      <c r="D30" s="550"/>
      <c r="E30" s="550"/>
      <c r="F30" s="550"/>
      <c r="G30" s="550"/>
      <c r="H30" s="550"/>
      <c r="I30" s="551">
        <f>SUM(J23:J29)</f>
        <v>8138.3700000000008</v>
      </c>
      <c r="J30" s="551"/>
    </row>
    <row r="31" spans="1:10" ht="15.75">
      <c r="A31" s="540" t="s">
        <v>372</v>
      </c>
      <c r="B31" s="541"/>
      <c r="C31" s="541"/>
      <c r="D31" s="541"/>
      <c r="E31" s="541"/>
      <c r="F31" s="541"/>
      <c r="G31" s="541"/>
      <c r="H31" s="542"/>
      <c r="I31" s="543">
        <f>I30/30</f>
        <v>271.27900000000005</v>
      </c>
      <c r="J31" s="544"/>
    </row>
    <row r="32" spans="1:10">
      <c r="A32" s="545" t="s">
        <v>329</v>
      </c>
      <c r="B32" s="546"/>
      <c r="C32" s="546"/>
      <c r="D32" s="546"/>
      <c r="E32" s="546"/>
      <c r="F32" s="546"/>
      <c r="G32" s="546"/>
      <c r="H32" s="546"/>
      <c r="I32" s="547"/>
      <c r="J32" s="249">
        <v>1</v>
      </c>
    </row>
    <row r="33" spans="1:10">
      <c r="A33" s="545" t="s">
        <v>180</v>
      </c>
      <c r="B33" s="546"/>
      <c r="C33" s="546"/>
      <c r="D33" s="546"/>
      <c r="E33" s="546"/>
      <c r="F33" s="546"/>
      <c r="G33" s="546"/>
      <c r="H33" s="546"/>
      <c r="I33" s="547"/>
      <c r="J33" s="250">
        <f>I31/J32</f>
        <v>271.27900000000005</v>
      </c>
    </row>
    <row r="34" spans="1:10" ht="15.75">
      <c r="A34" s="247"/>
      <c r="B34" s="248"/>
      <c r="C34" s="248"/>
      <c r="D34" s="248"/>
      <c r="E34" s="248"/>
      <c r="F34" s="248"/>
      <c r="G34" s="248"/>
    </row>
    <row r="35" spans="1:10">
      <c r="A35" s="552" t="s">
        <v>373</v>
      </c>
      <c r="B35" s="553"/>
      <c r="C35" s="553"/>
      <c r="D35" s="553"/>
      <c r="E35" s="553"/>
      <c r="F35" s="553"/>
      <c r="G35" s="553"/>
      <c r="H35" s="553"/>
      <c r="I35" s="553"/>
      <c r="J35" s="554"/>
    </row>
    <row r="36" spans="1:10" ht="78.75">
      <c r="A36" s="555" t="s">
        <v>135</v>
      </c>
      <c r="B36" s="555" t="s">
        <v>134</v>
      </c>
      <c r="C36" s="555" t="s">
        <v>349</v>
      </c>
      <c r="D36" s="555" t="s">
        <v>133</v>
      </c>
      <c r="E36" s="555" t="s">
        <v>293</v>
      </c>
      <c r="F36" s="235" t="s">
        <v>309</v>
      </c>
      <c r="G36" s="197" t="s">
        <v>304</v>
      </c>
      <c r="H36" s="555" t="s">
        <v>138</v>
      </c>
      <c r="I36" s="555" t="s">
        <v>137</v>
      </c>
      <c r="J36" s="555" t="s">
        <v>298</v>
      </c>
    </row>
    <row r="37" spans="1:10" ht="31.5">
      <c r="A37" s="555"/>
      <c r="B37" s="555"/>
      <c r="C37" s="555"/>
      <c r="D37" s="555"/>
      <c r="E37" s="555"/>
      <c r="F37" s="236" t="s">
        <v>308</v>
      </c>
      <c r="G37" s="198" t="s">
        <v>310</v>
      </c>
      <c r="H37" s="555"/>
      <c r="I37" s="555"/>
      <c r="J37" s="555"/>
    </row>
    <row r="38" spans="1:10">
      <c r="A38" s="253">
        <v>15</v>
      </c>
      <c r="B38" s="253" t="s">
        <v>362</v>
      </c>
      <c r="C38" s="279">
        <v>616392</v>
      </c>
      <c r="D38" s="280" t="s">
        <v>365</v>
      </c>
      <c r="E38" s="281">
        <v>1</v>
      </c>
      <c r="F38" s="278">
        <v>70</v>
      </c>
      <c r="G38" s="278">
        <v>22.6</v>
      </c>
      <c r="H38" s="255">
        <f>STDEVA(F38:G38)/AVERAGE(F38:G38)</f>
        <v>0.72390629434648746</v>
      </c>
      <c r="I38" s="256">
        <f>ROUND(AVERAGE(F38:G38),2)</f>
        <v>46.3</v>
      </c>
      <c r="J38" s="256">
        <f>I38*E38</f>
        <v>46.3</v>
      </c>
    </row>
    <row r="39" spans="1:10">
      <c r="A39" s="253">
        <v>16</v>
      </c>
      <c r="B39" s="254" t="s">
        <v>363</v>
      </c>
      <c r="C39" s="279">
        <v>613657</v>
      </c>
      <c r="D39" s="280" t="s">
        <v>364</v>
      </c>
      <c r="E39" s="281">
        <v>1</v>
      </c>
      <c r="F39" s="278">
        <f>2*269.41</f>
        <v>538.82000000000005</v>
      </c>
      <c r="G39" s="278">
        <v>1461</v>
      </c>
      <c r="H39" s="255">
        <f>STDEVA(F39:G39)/AVERAGE(F39:G39)</f>
        <v>0.65213842393276389</v>
      </c>
      <c r="I39" s="256">
        <f>ROUND(AVERAGE(F39:G39),2)</f>
        <v>999.91</v>
      </c>
      <c r="J39" s="256">
        <f>I39*E39</f>
        <v>999.91</v>
      </c>
    </row>
    <row r="40" spans="1:10" ht="15.75">
      <c r="A40" s="550" t="s">
        <v>374</v>
      </c>
      <c r="B40" s="550"/>
      <c r="C40" s="550"/>
      <c r="D40" s="550"/>
      <c r="E40" s="550"/>
      <c r="F40" s="550"/>
      <c r="G40" s="550"/>
      <c r="H40" s="550"/>
      <c r="I40" s="551">
        <f>SUM(J38:J39)</f>
        <v>1046.21</v>
      </c>
      <c r="J40" s="551"/>
    </row>
    <row r="41" spans="1:10" ht="15.75">
      <c r="A41" s="540" t="s">
        <v>375</v>
      </c>
      <c r="B41" s="541"/>
      <c r="C41" s="541"/>
      <c r="D41" s="541"/>
      <c r="E41" s="541"/>
      <c r="F41" s="541"/>
      <c r="G41" s="541"/>
      <c r="H41" s="542"/>
      <c r="I41" s="543">
        <f>I40/30</f>
        <v>34.873666666666665</v>
      </c>
      <c r="J41" s="544"/>
    </row>
    <row r="42" spans="1:10">
      <c r="A42" s="545" t="s">
        <v>329</v>
      </c>
      <c r="B42" s="546"/>
      <c r="C42" s="546"/>
      <c r="D42" s="546"/>
      <c r="E42" s="546"/>
      <c r="F42" s="546"/>
      <c r="G42" s="546"/>
      <c r="H42" s="546"/>
      <c r="I42" s="547"/>
      <c r="J42" s="249">
        <v>1</v>
      </c>
    </row>
    <row r="43" spans="1:10">
      <c r="A43" s="545" t="s">
        <v>180</v>
      </c>
      <c r="B43" s="546"/>
      <c r="C43" s="546"/>
      <c r="D43" s="546"/>
      <c r="E43" s="546"/>
      <c r="F43" s="546"/>
      <c r="G43" s="546"/>
      <c r="H43" s="546"/>
      <c r="I43" s="547"/>
      <c r="J43" s="250">
        <f>I41/J42</f>
        <v>34.873666666666665</v>
      </c>
    </row>
    <row r="44" spans="1:10">
      <c r="A44" s="257"/>
      <c r="B44" s="257"/>
      <c r="C44" s="257"/>
      <c r="D44" s="257"/>
      <c r="E44" s="257"/>
      <c r="F44" s="257"/>
      <c r="G44" s="257"/>
      <c r="H44" s="257"/>
      <c r="I44" s="257"/>
      <c r="J44" s="258"/>
    </row>
    <row r="45" spans="1:10">
      <c r="A45" s="257"/>
      <c r="B45" s="257"/>
      <c r="C45" s="257"/>
      <c r="D45" s="257"/>
      <c r="E45" s="257"/>
      <c r="F45" s="257"/>
      <c r="G45" s="257"/>
      <c r="H45" s="257"/>
      <c r="I45" s="257"/>
      <c r="J45" s="258"/>
    </row>
    <row r="46" spans="1:10" ht="15.75">
      <c r="B46" s="196" t="s">
        <v>123</v>
      </c>
    </row>
    <row r="47" spans="1:10">
      <c r="B47" s="9" t="s">
        <v>124</v>
      </c>
    </row>
    <row r="48" spans="1:10" ht="34.5" customHeight="1">
      <c r="B48" s="494" t="s">
        <v>125</v>
      </c>
      <c r="C48" s="494"/>
      <c r="D48" s="548"/>
      <c r="E48" s="548"/>
      <c r="F48" s="548"/>
      <c r="G48" s="548"/>
    </row>
    <row r="49" spans="2:9">
      <c r="B49" s="9" t="s">
        <v>330</v>
      </c>
      <c r="H49" s="10"/>
      <c r="I49" s="251"/>
    </row>
    <row r="50" spans="2:9">
      <c r="H50" s="10"/>
      <c r="I50" s="251"/>
    </row>
    <row r="51" spans="2:9">
      <c r="H51" s="10"/>
      <c r="I51" s="251"/>
    </row>
    <row r="52" spans="2:9">
      <c r="H52" s="10"/>
      <c r="I52" s="251"/>
    </row>
    <row r="53" spans="2:9">
      <c r="H53" s="10" t="s">
        <v>400</v>
      </c>
    </row>
    <row r="54" spans="2:9"/>
    <row r="55" spans="2:9" s="10" customFormat="1" ht="14.25"/>
    <row r="56" spans="2:9" s="10" customFormat="1" ht="15.75">
      <c r="F56" s="265" t="s">
        <v>294</v>
      </c>
    </row>
    <row r="57" spans="2:9" s="10" customFormat="1" ht="15.75">
      <c r="F57" s="266" t="s">
        <v>295</v>
      </c>
    </row>
    <row r="58" spans="2:9"/>
    <row r="59" spans="2:9"/>
    <row r="60" spans="2:9"/>
    <row r="61" spans="2:9"/>
    <row r="62" spans="2:9"/>
    <row r="63" spans="2:9"/>
    <row r="64" spans="2: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</sheetData>
  <mergeCells count="51">
    <mergeCell ref="A7:A8"/>
    <mergeCell ref="D7:D8"/>
    <mergeCell ref="E7:E8"/>
    <mergeCell ref="A1:J1"/>
    <mergeCell ref="A2:J2"/>
    <mergeCell ref="A4:J4"/>
    <mergeCell ref="A5:A6"/>
    <mergeCell ref="B5:B6"/>
    <mergeCell ref="C5:C6"/>
    <mergeCell ref="D5:D6"/>
    <mergeCell ref="E5:E6"/>
    <mergeCell ref="H5:H6"/>
    <mergeCell ref="I5:I6"/>
    <mergeCell ref="J5:J6"/>
    <mergeCell ref="B48:G48"/>
    <mergeCell ref="A30:H30"/>
    <mergeCell ref="I30:J30"/>
    <mergeCell ref="A31:H31"/>
    <mergeCell ref="I31:J31"/>
    <mergeCell ref="A32:I32"/>
    <mergeCell ref="A33:I33"/>
    <mergeCell ref="A40:H40"/>
    <mergeCell ref="I40:J40"/>
    <mergeCell ref="A41:H41"/>
    <mergeCell ref="I41:J41"/>
    <mergeCell ref="A42:I42"/>
    <mergeCell ref="A43:I43"/>
    <mergeCell ref="A35:J35"/>
    <mergeCell ref="A36:A37"/>
    <mergeCell ref="B36:B37"/>
    <mergeCell ref="C36:C37"/>
    <mergeCell ref="D36:D37"/>
    <mergeCell ref="E36:E37"/>
    <mergeCell ref="H36:H37"/>
    <mergeCell ref="I36:I37"/>
    <mergeCell ref="J36:J37"/>
    <mergeCell ref="A15:H15"/>
    <mergeCell ref="I15:J15"/>
    <mergeCell ref="A16:H16"/>
    <mergeCell ref="I16:J16"/>
    <mergeCell ref="A17:I17"/>
    <mergeCell ref="A18:I18"/>
    <mergeCell ref="A21:A22"/>
    <mergeCell ref="B21:B22"/>
    <mergeCell ref="C21:C22"/>
    <mergeCell ref="D21:D22"/>
    <mergeCell ref="E21:E22"/>
    <mergeCell ref="A20:J20"/>
    <mergeCell ref="H21:H22"/>
    <mergeCell ref="I21:I22"/>
    <mergeCell ref="J21:J22"/>
  </mergeCells>
  <pageMargins left="0.511811024" right="0.511811024" top="0.78740157499999996" bottom="0.78740157499999996" header="0.31496062000000002" footer="0.31496062000000002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3"/>
  <sheetViews>
    <sheetView zoomScale="85" zoomScaleNormal="85" workbookViewId="0">
      <selection activeCell="A53" sqref="A53:J53"/>
    </sheetView>
  </sheetViews>
  <sheetFormatPr defaultColWidth="9.140625" defaultRowHeight="15"/>
  <cols>
    <col min="1" max="1" width="58.140625" style="15" customWidth="1"/>
    <col min="2" max="2" width="14.140625" style="15" customWidth="1"/>
    <col min="3" max="3" width="5.28515625" style="15" customWidth="1"/>
    <col min="4" max="4" width="11.5703125" style="15" customWidth="1"/>
    <col min="5" max="5" width="7.7109375" style="15" customWidth="1"/>
    <col min="6" max="7" width="9.140625" style="15" customWidth="1"/>
    <col min="8" max="9" width="26.140625" customWidth="1"/>
    <col min="10" max="10" width="25.42578125" customWidth="1"/>
    <col min="11" max="11" width="23" bestFit="1" customWidth="1"/>
    <col min="12" max="12" width="18.28515625" customWidth="1"/>
    <col min="13" max="13" width="16.140625" customWidth="1"/>
    <col min="14" max="14" width="15.7109375" customWidth="1"/>
  </cols>
  <sheetData>
    <row r="1" spans="1:14" ht="15.75" thickBot="1">
      <c r="A1" s="362" t="s">
        <v>394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4"/>
    </row>
    <row r="2" spans="1:14">
      <c r="A2" s="14"/>
      <c r="B2" s="14"/>
      <c r="C2" s="14"/>
      <c r="D2" s="14"/>
      <c r="E2" s="14"/>
      <c r="F2" s="14"/>
      <c r="G2" s="14"/>
    </row>
    <row r="3" spans="1:14">
      <c r="A3" s="361" t="s">
        <v>202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5" spans="1:14" ht="16.5" customHeight="1">
      <c r="A5" s="378" t="s">
        <v>288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</row>
    <row r="6" spans="1:14" ht="38.25" customHeight="1">
      <c r="A6" s="18" t="s">
        <v>193</v>
      </c>
      <c r="B6" s="311" t="s">
        <v>248</v>
      </c>
      <c r="C6" s="311"/>
      <c r="D6" s="311" t="s">
        <v>281</v>
      </c>
      <c r="E6" s="311"/>
      <c r="F6" s="312" t="s">
        <v>194</v>
      </c>
      <c r="G6" s="312"/>
      <c r="H6" s="19" t="s">
        <v>226</v>
      </c>
      <c r="I6" s="19" t="s">
        <v>251</v>
      </c>
      <c r="J6" s="19" t="s">
        <v>227</v>
      </c>
      <c r="K6" s="19" t="s">
        <v>252</v>
      </c>
    </row>
    <row r="7" spans="1:14">
      <c r="A7" s="383" t="s">
        <v>195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</row>
    <row r="8" spans="1:14">
      <c r="A8" s="17" t="s">
        <v>280</v>
      </c>
      <c r="B8" s="330">
        <v>1200</v>
      </c>
      <c r="C8" s="330"/>
      <c r="D8" s="334">
        <v>233</v>
      </c>
      <c r="E8" s="334"/>
      <c r="F8" s="332">
        <f>IFERROR(D8/B8,0)</f>
        <v>0.19416666666666665</v>
      </c>
      <c r="G8" s="333"/>
      <c r="H8" s="327">
        <f>'Servente de limpeza'!H143</f>
        <v>6566.45</v>
      </c>
      <c r="I8" s="158">
        <f>IFERROR(1/B8*$H$8,0)</f>
        <v>5.4720416666666667</v>
      </c>
      <c r="J8" s="160">
        <f>D8*I8</f>
        <v>1274.9857083333334</v>
      </c>
      <c r="K8" s="356">
        <f>J13/D13</f>
        <v>10.106014094742065</v>
      </c>
    </row>
    <row r="9" spans="1:14">
      <c r="A9" s="17" t="s">
        <v>196</v>
      </c>
      <c r="B9" s="330">
        <v>1000</v>
      </c>
      <c r="C9" s="330"/>
      <c r="D9" s="334">
        <v>1277</v>
      </c>
      <c r="E9" s="334"/>
      <c r="F9" s="332">
        <f>IFERROR(D9/B9,0)</f>
        <v>1.2769999999999999</v>
      </c>
      <c r="G9" s="333"/>
      <c r="H9" s="327"/>
      <c r="I9" s="158">
        <f>IFERROR(1/B9*$H$8,0)</f>
        <v>6.5664499999999997</v>
      </c>
      <c r="J9" s="160">
        <f>D9*I9</f>
        <v>8385.3566499999997</v>
      </c>
      <c r="K9" s="350"/>
    </row>
    <row r="10" spans="1:14">
      <c r="A10" s="17" t="s">
        <v>297</v>
      </c>
      <c r="B10" s="330">
        <v>2500</v>
      </c>
      <c r="C10" s="330"/>
      <c r="D10" s="334">
        <f>719+106</f>
        <v>825</v>
      </c>
      <c r="E10" s="334"/>
      <c r="F10" s="332">
        <f>IFERROR(D10/B10,0)</f>
        <v>0.33</v>
      </c>
      <c r="G10" s="333"/>
      <c r="H10" s="327"/>
      <c r="I10" s="158">
        <f>IFERROR(1/B10*$H$8,0)</f>
        <v>2.6265800000000001</v>
      </c>
      <c r="J10" s="160">
        <f>D10*I10</f>
        <v>2166.9285</v>
      </c>
      <c r="K10" s="350"/>
    </row>
    <row r="11" spans="1:14">
      <c r="A11" s="16" t="s">
        <v>283</v>
      </c>
      <c r="B11" s="330">
        <v>1500</v>
      </c>
      <c r="C11" s="330"/>
      <c r="D11" s="331">
        <f>260+145</f>
        <v>405</v>
      </c>
      <c r="E11" s="331"/>
      <c r="F11" s="332">
        <f>IFERROR(D11/B11,0)</f>
        <v>0.27</v>
      </c>
      <c r="G11" s="333"/>
      <c r="H11" s="327"/>
      <c r="I11" s="158">
        <f>IFERROR(1/B11*$H$8,0)</f>
        <v>4.3776333333333328</v>
      </c>
      <c r="J11" s="160">
        <f>D11*I11</f>
        <v>1772.9414999999999</v>
      </c>
      <c r="K11" s="350"/>
    </row>
    <row r="12" spans="1:14">
      <c r="A12" s="17" t="s">
        <v>197</v>
      </c>
      <c r="B12" s="330">
        <v>200</v>
      </c>
      <c r="C12" s="330"/>
      <c r="D12" s="331">
        <v>620</v>
      </c>
      <c r="E12" s="331"/>
      <c r="F12" s="332">
        <f>IFERROR(D12/B12,0)</f>
        <v>3.1</v>
      </c>
      <c r="G12" s="333"/>
      <c r="H12" s="327"/>
      <c r="I12" s="158">
        <f>IFERROR(1/B12*$H$8,0)</f>
        <v>32.832250000000002</v>
      </c>
      <c r="J12" s="160">
        <f>D12*I12</f>
        <v>20355.995000000003</v>
      </c>
      <c r="K12" s="350"/>
    </row>
    <row r="13" spans="1:14">
      <c r="A13" s="317" t="s">
        <v>250</v>
      </c>
      <c r="B13" s="318"/>
      <c r="C13" s="319"/>
      <c r="D13" s="320">
        <f>SUM(D8:E12)</f>
        <v>3360</v>
      </c>
      <c r="E13" s="321"/>
      <c r="F13" s="322">
        <f>SUM(F8:G12)</f>
        <v>5.1711666666666662</v>
      </c>
      <c r="G13" s="322"/>
      <c r="H13" s="164"/>
      <c r="I13" s="165"/>
      <c r="J13" s="166">
        <f>SUM(J8:J12)</f>
        <v>33956.20735833334</v>
      </c>
      <c r="K13" s="350"/>
    </row>
    <row r="14" spans="1:14">
      <c r="A14" s="382" t="s">
        <v>201</v>
      </c>
      <c r="B14" s="382"/>
      <c r="C14" s="382"/>
      <c r="D14" s="382"/>
      <c r="E14" s="382"/>
      <c r="F14" s="382"/>
      <c r="G14" s="382"/>
      <c r="H14" s="382"/>
      <c r="I14" s="382"/>
      <c r="J14" s="382"/>
      <c r="K14" s="382"/>
    </row>
    <row r="15" spans="1:14">
      <c r="A15" s="161" t="s">
        <v>231</v>
      </c>
      <c r="B15" s="345">
        <v>2700</v>
      </c>
      <c r="C15" s="345"/>
      <c r="D15" s="386">
        <v>473</v>
      </c>
      <c r="E15" s="386"/>
      <c r="F15" s="387">
        <f>D15/B15</f>
        <v>0.17518518518518519</v>
      </c>
      <c r="G15" s="315"/>
      <c r="H15" s="356">
        <f>'Servente de limpeza'!H143</f>
        <v>6566.45</v>
      </c>
      <c r="I15" s="159">
        <f>IFERROR(1/B15*$H$15,0)</f>
        <v>2.4320185185185181</v>
      </c>
      <c r="J15" s="162">
        <f>D15*I15</f>
        <v>1150.344759259259</v>
      </c>
      <c r="K15" s="357">
        <f>J19/D19</f>
        <v>0.65006851445387437</v>
      </c>
    </row>
    <row r="16" spans="1:14">
      <c r="A16" s="20" t="s">
        <v>199</v>
      </c>
      <c r="B16" s="330">
        <v>9000</v>
      </c>
      <c r="C16" s="330"/>
      <c r="D16" s="331">
        <v>453</v>
      </c>
      <c r="E16" s="331"/>
      <c r="F16" s="384">
        <f>D16/B16</f>
        <v>5.0333333333333334E-2</v>
      </c>
      <c r="G16" s="385"/>
      <c r="H16" s="350"/>
      <c r="I16" s="158">
        <f>IFERROR(1/B16*$H$15,0)</f>
        <v>0.72960555555555562</v>
      </c>
      <c r="J16" s="160">
        <f>D16*I16</f>
        <v>330.51131666666669</v>
      </c>
      <c r="K16" s="358"/>
    </row>
    <row r="17" spans="1:14">
      <c r="A17" s="161" t="s">
        <v>232</v>
      </c>
      <c r="B17" s="345">
        <v>2700</v>
      </c>
      <c r="C17" s="345"/>
      <c r="D17" s="386">
        <v>181</v>
      </c>
      <c r="E17" s="386"/>
      <c r="F17" s="387">
        <f>D17/B17</f>
        <v>6.7037037037037034E-2</v>
      </c>
      <c r="G17" s="315"/>
      <c r="H17" s="350"/>
      <c r="I17" s="159">
        <f>IFERROR(1/B17*$H$15,0)</f>
        <v>2.4320185185185181</v>
      </c>
      <c r="J17" s="162">
        <f>D17*I17</f>
        <v>440.1953518518518</v>
      </c>
      <c r="K17" s="358"/>
    </row>
    <row r="18" spans="1:14" ht="28.5">
      <c r="A18" s="20" t="s">
        <v>282</v>
      </c>
      <c r="B18" s="330">
        <v>100000</v>
      </c>
      <c r="C18" s="330"/>
      <c r="D18" s="331">
        <v>1171</v>
      </c>
      <c r="E18" s="331"/>
      <c r="F18" s="384">
        <f>D18/B18</f>
        <v>1.171E-2</v>
      </c>
      <c r="G18" s="385"/>
      <c r="H18" s="351"/>
      <c r="I18" s="158">
        <f>IFERROR(1/B18*$H$15,0)</f>
        <v>6.5664500000000001E-2</v>
      </c>
      <c r="J18" s="160">
        <f>D18*I18</f>
        <v>76.893129500000001</v>
      </c>
      <c r="K18" s="359"/>
    </row>
    <row r="19" spans="1:14">
      <c r="A19" s="317" t="s">
        <v>253</v>
      </c>
      <c r="B19" s="318"/>
      <c r="C19" s="319"/>
      <c r="D19" s="320">
        <f>SUM(D15:E18)</f>
        <v>2278</v>
      </c>
      <c r="E19" s="321"/>
      <c r="F19" s="322">
        <f>SUM(F15:G16)</f>
        <v>0.22551851851851853</v>
      </c>
      <c r="G19" s="322"/>
      <c r="H19" s="164"/>
      <c r="I19" s="165"/>
      <c r="J19" s="166">
        <f>SUM(J15:J16)</f>
        <v>1480.8560759259258</v>
      </c>
      <c r="K19" s="163"/>
    </row>
    <row r="20" spans="1:14" ht="38.25" customHeight="1">
      <c r="A20" s="18" t="s">
        <v>193</v>
      </c>
      <c r="B20" s="311" t="s">
        <v>254</v>
      </c>
      <c r="C20" s="311"/>
      <c r="D20" s="311" t="s">
        <v>249</v>
      </c>
      <c r="E20" s="311"/>
      <c r="F20" s="312" t="s">
        <v>194</v>
      </c>
      <c r="G20" s="312"/>
      <c r="H20" s="19" t="s">
        <v>256</v>
      </c>
      <c r="I20" s="19" t="s">
        <v>228</v>
      </c>
      <c r="J20" s="19" t="s">
        <v>229</v>
      </c>
      <c r="K20" s="19" t="s">
        <v>226</v>
      </c>
      <c r="L20" s="19" t="s">
        <v>251</v>
      </c>
      <c r="M20" s="19" t="s">
        <v>227</v>
      </c>
      <c r="N20" s="19" t="s">
        <v>252</v>
      </c>
    </row>
    <row r="21" spans="1:14">
      <c r="A21" s="382" t="s">
        <v>255</v>
      </c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</row>
    <row r="22" spans="1:14" ht="28.5" customHeight="1">
      <c r="A22" s="325" t="s">
        <v>286</v>
      </c>
      <c r="B22" s="345">
        <v>380</v>
      </c>
      <c r="C22" s="345"/>
      <c r="D22" s="324">
        <v>75</v>
      </c>
      <c r="E22" s="324"/>
      <c r="F22" s="346">
        <f>(D22/B22)*16*(1/I26)</f>
        <v>1.6729681801452137E-2</v>
      </c>
      <c r="G22" s="347"/>
      <c r="H22" s="360">
        <v>16</v>
      </c>
      <c r="I22" s="353" t="s">
        <v>225</v>
      </c>
      <c r="J22" s="329">
        <f>(1/B22)*H22*(1/I26)</f>
        <v>2.2306242401936183E-4</v>
      </c>
      <c r="K22" s="350">
        <f>'Servente de limpeza'!H143</f>
        <v>6566.45</v>
      </c>
      <c r="L22" s="327">
        <f>ROUND(J22*K22,2)</f>
        <v>1.46</v>
      </c>
      <c r="M22" s="328">
        <f>L22*D22</f>
        <v>109.5</v>
      </c>
      <c r="N22" s="328">
        <f>M28/D28</f>
        <v>1.4599999999999997</v>
      </c>
    </row>
    <row r="23" spans="1:14">
      <c r="A23" s="326"/>
      <c r="B23" s="330"/>
      <c r="C23" s="330"/>
      <c r="D23" s="344"/>
      <c r="E23" s="344"/>
      <c r="F23" s="315"/>
      <c r="G23" s="316"/>
      <c r="H23" s="360"/>
      <c r="I23" s="354"/>
      <c r="J23" s="329"/>
      <c r="K23" s="350"/>
      <c r="L23" s="327"/>
      <c r="M23" s="329"/>
      <c r="N23" s="329"/>
    </row>
    <row r="24" spans="1:14" ht="28.5" customHeight="1">
      <c r="A24" s="325" t="s">
        <v>287</v>
      </c>
      <c r="B24" s="345">
        <v>160</v>
      </c>
      <c r="C24" s="345"/>
      <c r="D24" s="324">
        <v>257</v>
      </c>
      <c r="E24" s="324"/>
      <c r="F24" s="346">
        <f>(D24/B24)*16*(1/I26)</f>
        <v>0.13615172706081799</v>
      </c>
      <c r="G24" s="347"/>
      <c r="H24" s="360"/>
      <c r="I24" s="354"/>
      <c r="J24" s="352">
        <f>(1/B24)*H22*(1/I26)</f>
        <v>5.2977325704598442E-4</v>
      </c>
      <c r="K24" s="350"/>
      <c r="L24" s="327"/>
      <c r="M24" s="328">
        <f>L22*D24</f>
        <v>375.21999999999997</v>
      </c>
      <c r="N24" s="329"/>
    </row>
    <row r="25" spans="1:14">
      <c r="A25" s="326"/>
      <c r="B25" s="330"/>
      <c r="C25" s="330"/>
      <c r="D25" s="344"/>
      <c r="E25" s="344"/>
      <c r="F25" s="315"/>
      <c r="G25" s="316"/>
      <c r="H25" s="360"/>
      <c r="I25" s="355"/>
      <c r="J25" s="352"/>
      <c r="K25" s="350"/>
      <c r="L25" s="327"/>
      <c r="M25" s="329"/>
      <c r="N25" s="329"/>
    </row>
    <row r="26" spans="1:14" ht="28.5" customHeight="1">
      <c r="A26" s="341" t="s">
        <v>200</v>
      </c>
      <c r="B26" s="330">
        <v>380</v>
      </c>
      <c r="C26" s="330"/>
      <c r="D26" s="344">
        <v>446</v>
      </c>
      <c r="E26" s="344"/>
      <c r="F26" s="313">
        <f>(D26/B26)*16*(1/I26)</f>
        <v>9.9485841112635393E-2</v>
      </c>
      <c r="G26" s="314"/>
      <c r="H26" s="360"/>
      <c r="I26" s="348">
        <v>188.76</v>
      </c>
      <c r="J26" s="380">
        <f>(1/B26)*H22*(1/I26)</f>
        <v>2.2306242401936183E-4</v>
      </c>
      <c r="K26" s="350"/>
      <c r="L26" s="327"/>
      <c r="M26" s="328">
        <f>L22*D26</f>
        <v>651.16</v>
      </c>
      <c r="N26" s="329"/>
    </row>
    <row r="27" spans="1:14">
      <c r="A27" s="326"/>
      <c r="B27" s="330"/>
      <c r="C27" s="330"/>
      <c r="D27" s="344"/>
      <c r="E27" s="344"/>
      <c r="F27" s="315"/>
      <c r="G27" s="316"/>
      <c r="H27" s="336"/>
      <c r="I27" s="349"/>
      <c r="J27" s="381"/>
      <c r="K27" s="351"/>
      <c r="L27" s="327"/>
      <c r="M27" s="329"/>
      <c r="N27" s="329"/>
    </row>
    <row r="28" spans="1:14">
      <c r="A28" s="317" t="s">
        <v>257</v>
      </c>
      <c r="B28" s="318"/>
      <c r="C28" s="319"/>
      <c r="D28" s="320">
        <f>SUM(D22:E27)</f>
        <v>778</v>
      </c>
      <c r="E28" s="321"/>
      <c r="F28" s="379">
        <f>SUM(F22:G27)</f>
        <v>0.25236724997490556</v>
      </c>
      <c r="G28" s="379"/>
      <c r="H28" s="164"/>
      <c r="I28" s="164"/>
      <c r="J28" s="164"/>
      <c r="K28" s="164"/>
      <c r="L28" s="153"/>
      <c r="M28" s="167">
        <f>SUM(M22:M27)</f>
        <v>1135.8799999999999</v>
      </c>
      <c r="N28" s="153"/>
    </row>
    <row r="29" spans="1:14">
      <c r="A29" s="382" t="s">
        <v>258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</row>
    <row r="30" spans="1:14" ht="38.25" customHeight="1">
      <c r="A30" s="18" t="s">
        <v>193</v>
      </c>
      <c r="B30" s="311" t="s">
        <v>254</v>
      </c>
      <c r="C30" s="311"/>
      <c r="D30" s="311" t="s">
        <v>249</v>
      </c>
      <c r="E30" s="311"/>
      <c r="F30" s="312" t="s">
        <v>194</v>
      </c>
      <c r="G30" s="312"/>
      <c r="H30" s="19" t="s">
        <v>256</v>
      </c>
      <c r="I30" s="19" t="s">
        <v>228</v>
      </c>
      <c r="J30" s="19" t="s">
        <v>230</v>
      </c>
      <c r="K30" s="19" t="s">
        <v>226</v>
      </c>
      <c r="L30" s="19" t="s">
        <v>251</v>
      </c>
      <c r="M30" s="19" t="s">
        <v>227</v>
      </c>
      <c r="N30" s="19" t="s">
        <v>252</v>
      </c>
    </row>
    <row r="31" spans="1:14" ht="29.25" customHeight="1">
      <c r="A31" s="323" t="s">
        <v>198</v>
      </c>
      <c r="B31" s="337">
        <v>160</v>
      </c>
      <c r="C31" s="338"/>
      <c r="D31" s="341">
        <v>337</v>
      </c>
      <c r="E31" s="342"/>
      <c r="F31" s="313">
        <f>(D31/B31)*8*(1/I32)</f>
        <v>1.4877273529931135E-2</v>
      </c>
      <c r="G31" s="314"/>
      <c r="H31" s="335">
        <v>8</v>
      </c>
      <c r="I31" s="154" t="s">
        <v>225</v>
      </c>
      <c r="J31" s="388">
        <f>(1/B31)*H31*(1/I32)</f>
        <v>4.4146212254988529E-5</v>
      </c>
      <c r="K31" s="327">
        <f>'Servente de limpeza'!H143</f>
        <v>6566.45</v>
      </c>
      <c r="L31" s="327">
        <f>ROUND(J31*K31,2)</f>
        <v>0.28999999999999998</v>
      </c>
      <c r="M31" s="327">
        <f>D31*L31</f>
        <v>97.72999999999999</v>
      </c>
      <c r="N31" s="328">
        <f>M31/D31</f>
        <v>0.28999999999999998</v>
      </c>
    </row>
    <row r="32" spans="1:14">
      <c r="A32" s="324"/>
      <c r="B32" s="339"/>
      <c r="C32" s="340"/>
      <c r="D32" s="326"/>
      <c r="E32" s="343"/>
      <c r="F32" s="315"/>
      <c r="G32" s="316"/>
      <c r="H32" s="336"/>
      <c r="I32" s="152">
        <v>1132.5999999999999</v>
      </c>
      <c r="J32" s="389"/>
      <c r="K32" s="327"/>
      <c r="L32" s="327"/>
      <c r="M32" s="327"/>
      <c r="N32" s="329"/>
    </row>
    <row r="33" spans="1:13">
      <c r="A33" s="294" t="s">
        <v>273</v>
      </c>
      <c r="B33" s="294"/>
      <c r="C33" s="294"/>
      <c r="D33" s="294"/>
      <c r="E33" s="294"/>
      <c r="F33" s="310">
        <f>SUM(F8:G12,F15:G18,F22:G27,F31)</f>
        <v>5.7426767457270591</v>
      </c>
      <c r="G33" s="310"/>
    </row>
    <row r="34" spans="1:13">
      <c r="A34" s="294" t="s">
        <v>223</v>
      </c>
      <c r="B34" s="294"/>
      <c r="C34" s="294"/>
      <c r="D34" s="294"/>
      <c r="E34" s="294"/>
      <c r="F34" s="296">
        <f>ROUNDDOWN(F33,0)</f>
        <v>5</v>
      </c>
      <c r="G34" s="297"/>
    </row>
    <row r="35" spans="1:13">
      <c r="A35" s="294" t="s">
        <v>322</v>
      </c>
      <c r="B35" s="294"/>
      <c r="C35" s="294"/>
      <c r="D35" s="294"/>
      <c r="E35" s="294"/>
      <c r="F35" s="295">
        <f>(F33-F34)*2</f>
        <v>1.4853534914541182</v>
      </c>
      <c r="G35" s="295"/>
      <c r="H35" s="153"/>
      <c r="I35" s="153"/>
      <c r="J35" s="153"/>
      <c r="K35" s="153"/>
      <c r="L35" s="153"/>
      <c r="M35" s="153"/>
    </row>
    <row r="37" spans="1:13">
      <c r="A37" s="371" t="s">
        <v>319</v>
      </c>
      <c r="B37" s="372"/>
      <c r="C37" s="372"/>
      <c r="D37" s="372"/>
      <c r="E37" s="372"/>
      <c r="F37" s="372"/>
      <c r="G37" s="372"/>
      <c r="H37" s="372"/>
      <c r="I37" s="373"/>
    </row>
    <row r="38" spans="1:13" ht="13.9" customHeight="1">
      <c r="A38" s="305" t="s">
        <v>224</v>
      </c>
      <c r="B38" s="305"/>
      <c r="C38" s="305"/>
      <c r="D38" s="305"/>
      <c r="E38" s="306" t="s">
        <v>260</v>
      </c>
      <c r="F38" s="306"/>
      <c r="G38" s="306"/>
      <c r="H38" s="169" t="s">
        <v>261</v>
      </c>
      <c r="I38" s="170" t="s">
        <v>262</v>
      </c>
    </row>
    <row r="39" spans="1:13" ht="13.9" customHeight="1">
      <c r="A39" s="307" t="s">
        <v>267</v>
      </c>
      <c r="B39" s="307"/>
      <c r="C39" s="307"/>
      <c r="D39" s="307"/>
      <c r="E39" s="308">
        <f>D13</f>
        <v>3360</v>
      </c>
      <c r="F39" s="308"/>
      <c r="G39" s="308"/>
      <c r="H39" s="168">
        <f>K8</f>
        <v>10.106014094742065</v>
      </c>
      <c r="I39" s="168">
        <f>E39*H39</f>
        <v>33956.20735833334</v>
      </c>
    </row>
    <row r="40" spans="1:13" ht="13.9" customHeight="1">
      <c r="A40" s="307" t="s">
        <v>266</v>
      </c>
      <c r="B40" s="307"/>
      <c r="C40" s="307"/>
      <c r="D40" s="307"/>
      <c r="E40" s="308">
        <f>D19</f>
        <v>2278</v>
      </c>
      <c r="F40" s="308"/>
      <c r="G40" s="308"/>
      <c r="H40" s="168">
        <f>K15</f>
        <v>0.65006851445387437</v>
      </c>
      <c r="I40" s="168">
        <f>E40*H40</f>
        <v>1480.8560759259258</v>
      </c>
    </row>
    <row r="41" spans="1:13" ht="13.9" customHeight="1">
      <c r="A41" s="309" t="s">
        <v>265</v>
      </c>
      <c r="B41" s="309"/>
      <c r="C41" s="309"/>
      <c r="D41" s="309"/>
      <c r="E41" s="308">
        <f>D28</f>
        <v>778</v>
      </c>
      <c r="F41" s="308"/>
      <c r="G41" s="308"/>
      <c r="H41" s="168">
        <f>N22</f>
        <v>1.4599999999999997</v>
      </c>
      <c r="I41" s="168">
        <f>E41*H41</f>
        <v>1135.8799999999999</v>
      </c>
    </row>
    <row r="42" spans="1:13" ht="13.9" customHeight="1">
      <c r="A42" s="309" t="s">
        <v>268</v>
      </c>
      <c r="B42" s="309"/>
      <c r="C42" s="309"/>
      <c r="D42" s="309"/>
      <c r="E42" s="308">
        <f>D31</f>
        <v>337</v>
      </c>
      <c r="F42" s="308"/>
      <c r="G42" s="308"/>
      <c r="H42" s="168">
        <f>N31</f>
        <v>0.28999999999999998</v>
      </c>
      <c r="I42" s="168">
        <f>E42*H42</f>
        <v>97.72999999999999</v>
      </c>
    </row>
    <row r="43" spans="1:13" ht="13.9" customHeight="1">
      <c r="A43" s="365" t="s">
        <v>263</v>
      </c>
      <c r="B43" s="366"/>
      <c r="C43" s="366"/>
      <c r="D43" s="366"/>
      <c r="E43" s="366"/>
      <c r="F43" s="366"/>
      <c r="G43" s="366"/>
      <c r="H43" s="367"/>
      <c r="I43" s="171">
        <f>SUM(E39:G42)</f>
        <v>6753</v>
      </c>
    </row>
    <row r="44" spans="1:13">
      <c r="A44" s="368" t="s">
        <v>269</v>
      </c>
      <c r="B44" s="369"/>
      <c r="C44" s="369"/>
      <c r="D44" s="369"/>
      <c r="E44" s="369"/>
      <c r="F44" s="369"/>
      <c r="G44" s="369"/>
      <c r="H44" s="370"/>
      <c r="I44" s="172">
        <f>ROUND(SUM(I39:I42),2)</f>
        <v>36670.67</v>
      </c>
    </row>
    <row r="45" spans="1:13">
      <c r="A45" s="374" t="s">
        <v>270</v>
      </c>
      <c r="B45" s="375"/>
      <c r="C45" s="375"/>
      <c r="D45" s="375"/>
      <c r="E45" s="375"/>
      <c r="F45" s="375"/>
      <c r="G45" s="375"/>
      <c r="H45" s="376"/>
      <c r="I45" s="173">
        <f>'Insumos Diversos SERVENTE Sede'!I66</f>
        <v>29182.84</v>
      </c>
    </row>
    <row r="46" spans="1:13">
      <c r="A46" s="377" t="s">
        <v>271</v>
      </c>
      <c r="B46" s="377"/>
      <c r="C46" s="377"/>
      <c r="D46" s="377"/>
      <c r="E46" s="377"/>
      <c r="F46" s="377"/>
      <c r="G46" s="377"/>
      <c r="H46" s="377"/>
      <c r="I46" s="174">
        <f>SUM(I44:I45)</f>
        <v>65853.509999999995</v>
      </c>
    </row>
    <row r="49" spans="1:14" s="155" customFormat="1" ht="14.25">
      <c r="A49" s="304" t="s">
        <v>233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</row>
    <row r="50" spans="1:14" s="155" customFormat="1" ht="14.25">
      <c r="A50" s="304" t="s">
        <v>259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</row>
    <row r="52" spans="1:14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4">
      <c r="A53" s="298" t="s">
        <v>123</v>
      </c>
      <c r="B53" s="298"/>
      <c r="C53" s="298"/>
      <c r="D53" s="298"/>
      <c r="E53" s="298"/>
      <c r="F53" s="298"/>
      <c r="G53" s="298"/>
      <c r="H53" s="298"/>
      <c r="I53" s="298"/>
      <c r="J53" s="298"/>
      <c r="K53" s="175"/>
    </row>
    <row r="54" spans="1:14">
      <c r="A54" s="299" t="s">
        <v>124</v>
      </c>
      <c r="B54" s="299"/>
      <c r="C54" s="299"/>
      <c r="D54" s="299"/>
      <c r="E54" s="299"/>
      <c r="F54" s="299"/>
      <c r="G54" s="299"/>
      <c r="H54" s="299"/>
      <c r="I54" s="299"/>
      <c r="J54" s="299"/>
      <c r="K54" s="175"/>
    </row>
    <row r="55" spans="1:14" ht="15" customHeight="1">
      <c r="A55" s="300" t="s">
        <v>125</v>
      </c>
      <c r="B55" s="300"/>
      <c r="C55" s="300"/>
      <c r="D55" s="300"/>
      <c r="E55" s="300"/>
      <c r="F55" s="300"/>
      <c r="G55" s="300"/>
      <c r="H55" s="300"/>
      <c r="I55" s="300"/>
      <c r="J55" s="300"/>
      <c r="K55" s="300"/>
    </row>
    <row r="56" spans="1:14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4" hidden="1">
      <c r="A57" s="10"/>
      <c r="B57" s="10"/>
      <c r="C57" s="10"/>
      <c r="D57" s="10"/>
      <c r="E57" s="301" t="s">
        <v>272</v>
      </c>
      <c r="F57" s="301"/>
      <c r="G57" s="301"/>
      <c r="H57" s="301"/>
      <c r="I57" s="301"/>
      <c r="J57" s="10"/>
    </row>
    <row r="58" spans="1:14" hidden="1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4" ht="15.75" hidden="1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4" ht="15.75" hidden="1">
      <c r="A60" s="9"/>
      <c r="B60" s="9"/>
      <c r="C60" s="9"/>
      <c r="D60" s="10"/>
      <c r="E60" s="10"/>
      <c r="F60" s="10"/>
      <c r="G60" s="9"/>
      <c r="H60" s="9"/>
      <c r="I60" s="9"/>
      <c r="J60" s="9"/>
    </row>
    <row r="61" spans="1:14" ht="15.75" hidden="1">
      <c r="A61" s="9"/>
      <c r="B61" s="9"/>
      <c r="C61" s="9"/>
      <c r="D61" s="176" t="s">
        <v>188</v>
      </c>
      <c r="E61" s="176"/>
      <c r="F61" s="176"/>
      <c r="G61" s="9"/>
      <c r="H61" s="9"/>
      <c r="I61" s="9"/>
      <c r="J61" s="9"/>
    </row>
    <row r="62" spans="1:14" ht="15.75" hidden="1">
      <c r="A62" s="9"/>
      <c r="B62" s="9"/>
      <c r="C62" s="9"/>
      <c r="D62" s="302" t="s">
        <v>189</v>
      </c>
      <c r="E62" s="302"/>
      <c r="F62" s="302"/>
      <c r="G62" s="302"/>
      <c r="H62" s="302"/>
      <c r="I62" s="9"/>
      <c r="J62" s="9"/>
    </row>
    <row r="63" spans="1:14" ht="15.75" hidden="1">
      <c r="A63" s="9"/>
      <c r="B63" s="9"/>
      <c r="C63" s="9"/>
      <c r="D63" s="303" t="s">
        <v>190</v>
      </c>
      <c r="E63" s="303"/>
      <c r="F63" s="303"/>
      <c r="G63" s="303"/>
      <c r="H63" s="303"/>
      <c r="I63" s="9"/>
      <c r="J63" s="9"/>
    </row>
  </sheetData>
  <mergeCells count="119">
    <mergeCell ref="N31:N32"/>
    <mergeCell ref="A29:N29"/>
    <mergeCell ref="F16:G16"/>
    <mergeCell ref="B15:C15"/>
    <mergeCell ref="D15:E15"/>
    <mergeCell ref="F15:G15"/>
    <mergeCell ref="B16:C16"/>
    <mergeCell ref="B20:C20"/>
    <mergeCell ref="J31:J32"/>
    <mergeCell ref="K31:K32"/>
    <mergeCell ref="D17:E17"/>
    <mergeCell ref="F17:G17"/>
    <mergeCell ref="B18:C18"/>
    <mergeCell ref="D18:E18"/>
    <mergeCell ref="F18:G18"/>
    <mergeCell ref="A24:A25"/>
    <mergeCell ref="B24:C25"/>
    <mergeCell ref="D24:E25"/>
    <mergeCell ref="F24:G25"/>
    <mergeCell ref="M31:M32"/>
    <mergeCell ref="B30:C30"/>
    <mergeCell ref="D30:E30"/>
    <mergeCell ref="F30:G30"/>
    <mergeCell ref="A26:A27"/>
    <mergeCell ref="A3:N3"/>
    <mergeCell ref="A1:N1"/>
    <mergeCell ref="A40:D40"/>
    <mergeCell ref="E40:G40"/>
    <mergeCell ref="A43:H43"/>
    <mergeCell ref="A44:H44"/>
    <mergeCell ref="A37:I37"/>
    <mergeCell ref="A45:H45"/>
    <mergeCell ref="A46:H46"/>
    <mergeCell ref="A5:K5"/>
    <mergeCell ref="A28:C28"/>
    <mergeCell ref="D28:E28"/>
    <mergeCell ref="F28:G28"/>
    <mergeCell ref="J22:J23"/>
    <mergeCell ref="J26:J27"/>
    <mergeCell ref="A21:N21"/>
    <mergeCell ref="N22:N27"/>
    <mergeCell ref="A7:K7"/>
    <mergeCell ref="K8:K13"/>
    <mergeCell ref="A14:K14"/>
    <mergeCell ref="A19:C19"/>
    <mergeCell ref="D19:E19"/>
    <mergeCell ref="F19:G19"/>
    <mergeCell ref="D16:E16"/>
    <mergeCell ref="F9:G9"/>
    <mergeCell ref="B10:C10"/>
    <mergeCell ref="D10:E10"/>
    <mergeCell ref="F10:G10"/>
    <mergeCell ref="B17:C17"/>
    <mergeCell ref="K22:K27"/>
    <mergeCell ref="B12:C12"/>
    <mergeCell ref="D12:E12"/>
    <mergeCell ref="F12:G12"/>
    <mergeCell ref="J24:J25"/>
    <mergeCell ref="I22:I25"/>
    <mergeCell ref="H15:H18"/>
    <mergeCell ref="K15:K18"/>
    <mergeCell ref="B26:C27"/>
    <mergeCell ref="D26:E27"/>
    <mergeCell ref="F26:G27"/>
    <mergeCell ref="H22:H27"/>
    <mergeCell ref="L31:L32"/>
    <mergeCell ref="M22:M23"/>
    <mergeCell ref="M26:M27"/>
    <mergeCell ref="M24:M25"/>
    <mergeCell ref="B6:C6"/>
    <mergeCell ref="D6:E6"/>
    <mergeCell ref="F6:G6"/>
    <mergeCell ref="B11:C11"/>
    <mergeCell ref="D11:E11"/>
    <mergeCell ref="F11:G11"/>
    <mergeCell ref="B8:C8"/>
    <mergeCell ref="D8:E8"/>
    <mergeCell ref="F8:G8"/>
    <mergeCell ref="H31:H32"/>
    <mergeCell ref="B31:C32"/>
    <mergeCell ref="D31:E32"/>
    <mergeCell ref="D22:E23"/>
    <mergeCell ref="B22:C23"/>
    <mergeCell ref="F22:G23"/>
    <mergeCell ref="I26:I27"/>
    <mergeCell ref="H8:H12"/>
    <mergeCell ref="L22:L27"/>
    <mergeCell ref="B9:C9"/>
    <mergeCell ref="D9:E9"/>
    <mergeCell ref="A33:E33"/>
    <mergeCell ref="F33:G33"/>
    <mergeCell ref="D20:E20"/>
    <mergeCell ref="F20:G20"/>
    <mergeCell ref="F31:G32"/>
    <mergeCell ref="A13:C13"/>
    <mergeCell ref="D13:E13"/>
    <mergeCell ref="F13:G13"/>
    <mergeCell ref="A34:E34"/>
    <mergeCell ref="A31:A32"/>
    <mergeCell ref="A22:A23"/>
    <mergeCell ref="A35:E35"/>
    <mergeCell ref="F35:G35"/>
    <mergeCell ref="F34:G34"/>
    <mergeCell ref="A53:J53"/>
    <mergeCell ref="A54:J54"/>
    <mergeCell ref="A55:K55"/>
    <mergeCell ref="E57:I57"/>
    <mergeCell ref="D62:H62"/>
    <mergeCell ref="D63:H63"/>
    <mergeCell ref="A49:N49"/>
    <mergeCell ref="A50:N50"/>
    <mergeCell ref="A38:D38"/>
    <mergeCell ref="E38:G38"/>
    <mergeCell ref="A39:D39"/>
    <mergeCell ref="E39:G39"/>
    <mergeCell ref="A41:D41"/>
    <mergeCell ref="E41:G41"/>
    <mergeCell ref="A42:D42"/>
    <mergeCell ref="E42:G42"/>
  </mergeCells>
  <pageMargins left="0.51181102362204722" right="0.51181102362204722" top="0.78740157480314965" bottom="0.78740157480314965" header="0.31496062992125984" footer="0.31496062992125984"/>
  <pageSetup paperSize="9"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009"/>
  <sheetViews>
    <sheetView showGridLines="0" topLeftCell="A90" zoomScaleNormal="100" workbookViewId="0">
      <selection activeCell="F99" sqref="F99"/>
    </sheetView>
  </sheetViews>
  <sheetFormatPr defaultColWidth="14.42578125" defaultRowHeight="15" customHeight="1"/>
  <cols>
    <col min="1" max="1" width="17.42578125" style="10" customWidth="1"/>
    <col min="2" max="2" width="61.5703125" style="10" customWidth="1"/>
    <col min="3" max="3" width="14.42578125" style="10" customWidth="1"/>
    <col min="4" max="4" width="13" style="10" customWidth="1"/>
    <col min="5" max="5" width="13.42578125" style="10" customWidth="1"/>
    <col min="6" max="6" width="13.7109375" style="10" customWidth="1"/>
    <col min="7" max="7" width="18.7109375" style="10" customWidth="1"/>
    <col min="8" max="8" width="20.140625" style="10" customWidth="1"/>
    <col min="9" max="9" width="20.42578125" style="10" customWidth="1"/>
    <col min="10" max="10" width="14.85546875" style="10" customWidth="1"/>
    <col min="11" max="11" width="15.7109375" style="10" customWidth="1"/>
    <col min="12" max="12" width="18.140625" style="10" customWidth="1"/>
    <col min="13" max="13" width="19.5703125" style="10" customWidth="1"/>
    <col min="14" max="26" width="8.7109375" style="10" customWidth="1"/>
    <col min="27" max="16384" width="14.42578125" style="10"/>
  </cols>
  <sheetData>
    <row r="1" spans="1:9">
      <c r="A1" s="396" t="s">
        <v>395</v>
      </c>
      <c r="B1" s="397"/>
      <c r="C1" s="397"/>
      <c r="D1" s="397"/>
      <c r="E1" s="397"/>
      <c r="F1" s="397"/>
      <c r="G1" s="397"/>
      <c r="H1" s="398"/>
    </row>
    <row r="2" spans="1:9">
      <c r="A2" s="399" t="s">
        <v>285</v>
      </c>
      <c r="B2" s="397"/>
      <c r="C2" s="397"/>
      <c r="D2" s="397"/>
      <c r="E2" s="397"/>
      <c r="F2" s="397"/>
      <c r="G2" s="397"/>
      <c r="H2" s="398"/>
    </row>
    <row r="3" spans="1:9" ht="23.25" customHeight="1">
      <c r="A3" s="400" t="s">
        <v>26</v>
      </c>
      <c r="B3" s="401"/>
      <c r="C3" s="401"/>
      <c r="D3" s="401"/>
      <c r="E3" s="401"/>
      <c r="F3" s="401"/>
      <c r="G3" s="401"/>
      <c r="H3" s="401"/>
      <c r="I3" s="46"/>
    </row>
    <row r="4" spans="1:9" ht="16.5" customHeight="1">
      <c r="A4" s="47"/>
      <c r="B4" s="48" t="s">
        <v>212</v>
      </c>
      <c r="C4" s="49"/>
      <c r="D4" s="49"/>
      <c r="E4" s="49"/>
      <c r="F4" s="50"/>
      <c r="G4" s="402" t="s">
        <v>289</v>
      </c>
      <c r="H4" s="403"/>
    </row>
    <row r="5" spans="1:9" ht="16.5" customHeight="1">
      <c r="A5" s="47"/>
      <c r="B5" s="48" t="s">
        <v>27</v>
      </c>
      <c r="C5" s="49"/>
      <c r="D5" s="49"/>
      <c r="E5" s="49"/>
      <c r="F5" s="50"/>
      <c r="G5" s="404" t="s">
        <v>385</v>
      </c>
      <c r="H5" s="403"/>
    </row>
    <row r="6" spans="1:9" ht="14.25">
      <c r="A6" s="51"/>
      <c r="B6" s="51"/>
      <c r="C6" s="51"/>
      <c r="D6" s="51"/>
      <c r="E6" s="51"/>
      <c r="F6" s="51"/>
      <c r="G6" s="13"/>
    </row>
    <row r="7" spans="1:9">
      <c r="A7" s="405" t="s">
        <v>0</v>
      </c>
      <c r="B7" s="401"/>
      <c r="C7" s="401"/>
      <c r="D7" s="401"/>
      <c r="E7" s="401"/>
      <c r="F7" s="401"/>
      <c r="G7" s="401"/>
    </row>
    <row r="8" spans="1:9">
      <c r="A8" s="52" t="s">
        <v>1</v>
      </c>
      <c r="B8" s="406" t="s">
        <v>2</v>
      </c>
      <c r="C8" s="391"/>
      <c r="D8" s="391"/>
      <c r="E8" s="391"/>
      <c r="F8" s="391"/>
      <c r="G8" s="392"/>
      <c r="H8" s="53"/>
    </row>
    <row r="9" spans="1:9">
      <c r="A9" s="52" t="s">
        <v>3</v>
      </c>
      <c r="B9" s="406" t="s">
        <v>4</v>
      </c>
      <c r="C9" s="391"/>
      <c r="D9" s="391"/>
      <c r="E9" s="391"/>
      <c r="F9" s="391"/>
      <c r="G9" s="392"/>
      <c r="H9" s="2" t="s">
        <v>284</v>
      </c>
    </row>
    <row r="10" spans="1:9" ht="29.25" customHeight="1">
      <c r="A10" s="52" t="s">
        <v>5</v>
      </c>
      <c r="B10" s="407" t="s">
        <v>234</v>
      </c>
      <c r="C10" s="408"/>
      <c r="D10" s="408"/>
      <c r="E10" s="408"/>
      <c r="F10" s="408"/>
      <c r="G10" s="409"/>
      <c r="H10" s="3" t="s">
        <v>300</v>
      </c>
    </row>
    <row r="11" spans="1:9">
      <c r="A11" s="52" t="s">
        <v>6</v>
      </c>
      <c r="B11" s="406" t="s">
        <v>213</v>
      </c>
      <c r="C11" s="391"/>
      <c r="D11" s="391"/>
      <c r="E11" s="391"/>
      <c r="F11" s="391"/>
      <c r="G11" s="392"/>
      <c r="H11" s="1">
        <v>12</v>
      </c>
    </row>
    <row r="12" spans="1:9">
      <c r="A12" s="187" t="s">
        <v>290</v>
      </c>
      <c r="B12" s="184"/>
      <c r="C12" s="185"/>
      <c r="D12" s="185"/>
      <c r="E12" s="185"/>
      <c r="F12" s="185"/>
      <c r="G12" s="185"/>
      <c r="H12" s="186"/>
    </row>
    <row r="13" spans="1:9">
      <c r="A13" s="187" t="s">
        <v>291</v>
      </c>
      <c r="B13" s="184"/>
      <c r="C13" s="185"/>
      <c r="D13" s="185"/>
      <c r="E13" s="185"/>
      <c r="F13" s="185"/>
      <c r="G13" s="185"/>
      <c r="H13" s="186"/>
    </row>
    <row r="14" spans="1:9">
      <c r="A14" s="54"/>
      <c r="B14" s="51"/>
      <c r="C14" s="51"/>
      <c r="D14" s="51"/>
      <c r="E14" s="51"/>
      <c r="F14" s="51"/>
      <c r="G14" s="55"/>
    </row>
    <row r="15" spans="1:9">
      <c r="A15" s="411" t="s">
        <v>28</v>
      </c>
      <c r="B15" s="395"/>
      <c r="C15" s="395"/>
      <c r="D15" s="395"/>
      <c r="E15" s="395"/>
      <c r="F15" s="395"/>
      <c r="G15" s="395"/>
      <c r="H15" s="395"/>
    </row>
    <row r="16" spans="1:9" ht="15.75" customHeight="1">
      <c r="A16" s="412" t="s">
        <v>29</v>
      </c>
      <c r="B16" s="413"/>
      <c r="C16" s="413"/>
      <c r="D16" s="413"/>
      <c r="E16" s="413"/>
      <c r="F16" s="414"/>
      <c r="G16" s="415" t="s">
        <v>203</v>
      </c>
      <c r="H16" s="416"/>
    </row>
    <row r="17" spans="1:8" ht="20.100000000000001" customHeight="1">
      <c r="A17" s="312" t="s">
        <v>30</v>
      </c>
      <c r="B17" s="312"/>
      <c r="C17" s="312"/>
      <c r="D17" s="312"/>
      <c r="E17" s="312"/>
      <c r="F17" s="312"/>
      <c r="G17" s="11" t="s">
        <v>204</v>
      </c>
      <c r="H17" s="11" t="s">
        <v>205</v>
      </c>
    </row>
    <row r="18" spans="1:8" ht="14.25">
      <c r="A18" s="429" t="s">
        <v>31</v>
      </c>
      <c r="B18" s="429"/>
      <c r="C18" s="429"/>
      <c r="D18" s="429"/>
      <c r="E18" s="429"/>
      <c r="F18" s="429"/>
      <c r="G18" s="11" t="s">
        <v>206</v>
      </c>
      <c r="H18" s="56">
        <f>SUM('Produtividade Serventes'!D8:E12)</f>
        <v>3360</v>
      </c>
    </row>
    <row r="19" spans="1:8" ht="14.25">
      <c r="A19" s="429"/>
      <c r="B19" s="429"/>
      <c r="C19" s="429"/>
      <c r="D19" s="429"/>
      <c r="E19" s="429"/>
      <c r="F19" s="429"/>
      <c r="G19" s="11" t="s">
        <v>207</v>
      </c>
      <c r="H19" s="56">
        <f>SUM('Produtividade Serventes'!D15:E18)</f>
        <v>2278</v>
      </c>
    </row>
    <row r="20" spans="1:8" ht="28.5">
      <c r="A20" s="429"/>
      <c r="B20" s="429"/>
      <c r="C20" s="429"/>
      <c r="D20" s="429"/>
      <c r="E20" s="429"/>
      <c r="F20" s="429"/>
      <c r="G20" s="11" t="s">
        <v>208</v>
      </c>
      <c r="H20" s="56">
        <f>SUM('Produtividade Serventes'!D22:E27)</f>
        <v>778</v>
      </c>
    </row>
    <row r="21" spans="1:8" ht="28.5">
      <c r="A21" s="429"/>
      <c r="B21" s="429"/>
      <c r="C21" s="429"/>
      <c r="D21" s="429"/>
      <c r="E21" s="429"/>
      <c r="F21" s="429"/>
      <c r="G21" s="11" t="s">
        <v>209</v>
      </c>
      <c r="H21" s="56">
        <f>SUM('Produtividade Serventes'!D31:E32)</f>
        <v>337</v>
      </c>
    </row>
    <row r="22" spans="1:8" ht="14.25">
      <c r="A22" s="57"/>
      <c r="B22" s="57"/>
      <c r="C22" s="57"/>
      <c r="D22" s="57"/>
      <c r="E22" s="57"/>
      <c r="F22" s="57"/>
      <c r="G22" s="13"/>
      <c r="H22" s="13"/>
    </row>
    <row r="23" spans="1:8">
      <c r="A23" s="405" t="s">
        <v>32</v>
      </c>
      <c r="B23" s="401"/>
      <c r="C23" s="401"/>
      <c r="D23" s="401"/>
      <c r="E23" s="401"/>
      <c r="F23" s="401"/>
      <c r="G23" s="401"/>
      <c r="H23" s="401"/>
    </row>
    <row r="24" spans="1:8">
      <c r="A24" s="417" t="s">
        <v>33</v>
      </c>
      <c r="B24" s="401"/>
      <c r="C24" s="401"/>
      <c r="D24" s="401"/>
      <c r="E24" s="401"/>
      <c r="F24" s="401"/>
      <c r="G24" s="401"/>
      <c r="H24" s="401"/>
    </row>
    <row r="25" spans="1:8" ht="27.75" customHeight="1">
      <c r="A25" s="418" t="s">
        <v>34</v>
      </c>
      <c r="B25" s="391"/>
      <c r="C25" s="391"/>
      <c r="D25" s="391"/>
      <c r="E25" s="391"/>
      <c r="F25" s="391"/>
      <c r="G25" s="391"/>
      <c r="H25" s="392"/>
    </row>
    <row r="26" spans="1:8" ht="14.25" customHeight="1">
      <c r="A26" s="52">
        <v>1</v>
      </c>
      <c r="B26" s="156" t="s">
        <v>35</v>
      </c>
      <c r="C26" s="59"/>
      <c r="D26" s="59"/>
      <c r="E26" s="59"/>
      <c r="F26" s="60"/>
      <c r="G26" s="419" t="s">
        <v>235</v>
      </c>
      <c r="H26" s="420"/>
    </row>
    <row r="27" spans="1:8" ht="15" customHeight="1">
      <c r="A27" s="61">
        <v>2</v>
      </c>
      <c r="B27" s="58" t="s">
        <v>36</v>
      </c>
      <c r="C27" s="59"/>
      <c r="D27" s="59"/>
      <c r="E27" s="59"/>
      <c r="F27" s="60"/>
      <c r="G27" s="419" t="s">
        <v>236</v>
      </c>
      <c r="H27" s="392"/>
    </row>
    <row r="28" spans="1:8" ht="15" customHeight="1">
      <c r="A28" s="61">
        <v>3</v>
      </c>
      <c r="B28" s="58" t="s">
        <v>37</v>
      </c>
      <c r="C28" s="59"/>
      <c r="D28" s="59"/>
      <c r="E28" s="59"/>
      <c r="F28" s="60"/>
      <c r="G28" s="421">
        <v>1601.55</v>
      </c>
      <c r="H28" s="392"/>
    </row>
    <row r="29" spans="1:8" ht="15" customHeight="1">
      <c r="A29" s="61">
        <v>4</v>
      </c>
      <c r="B29" s="58" t="s">
        <v>10</v>
      </c>
      <c r="C29" s="59"/>
      <c r="D29" s="59"/>
      <c r="E29" s="59"/>
      <c r="F29" s="60"/>
      <c r="G29" s="422" t="s">
        <v>179</v>
      </c>
      <c r="H29" s="392"/>
    </row>
    <row r="30" spans="1:8" ht="15" customHeight="1">
      <c r="A30" s="61">
        <v>5</v>
      </c>
      <c r="B30" s="58" t="s">
        <v>11</v>
      </c>
      <c r="C30" s="59"/>
      <c r="D30" s="59"/>
      <c r="E30" s="59"/>
      <c r="F30" s="60"/>
      <c r="G30" s="423">
        <v>45658</v>
      </c>
      <c r="H30" s="392"/>
    </row>
    <row r="31" spans="1:8" ht="15.75" customHeight="1">
      <c r="A31" s="62"/>
      <c r="B31" s="62"/>
      <c r="C31" s="62"/>
      <c r="D31" s="62"/>
      <c r="E31" s="62"/>
      <c r="F31" s="62"/>
      <c r="G31" s="62"/>
    </row>
    <row r="32" spans="1:8" ht="15.75" customHeight="1">
      <c r="A32" s="405" t="s">
        <v>38</v>
      </c>
      <c r="B32" s="401"/>
      <c r="C32" s="401"/>
      <c r="D32" s="401"/>
      <c r="E32" s="401"/>
      <c r="F32" s="401"/>
      <c r="G32" s="401"/>
      <c r="H32" s="401"/>
    </row>
    <row r="33" spans="1:8" ht="15.75" customHeight="1">
      <c r="A33" s="63">
        <v>1</v>
      </c>
      <c r="B33" s="424" t="s">
        <v>39</v>
      </c>
      <c r="C33" s="391"/>
      <c r="D33" s="391"/>
      <c r="E33" s="391"/>
      <c r="F33" s="391"/>
      <c r="G33" s="392"/>
      <c r="H33" s="63" t="s">
        <v>12</v>
      </c>
    </row>
    <row r="34" spans="1:8" ht="15.75" customHeight="1">
      <c r="A34" s="64" t="s">
        <v>13</v>
      </c>
      <c r="B34" s="425" t="s">
        <v>40</v>
      </c>
      <c r="C34" s="391"/>
      <c r="D34" s="391"/>
      <c r="E34" s="391"/>
      <c r="F34" s="391"/>
      <c r="G34" s="392"/>
      <c r="H34" s="65">
        <f>G28</f>
        <v>1601.55</v>
      </c>
    </row>
    <row r="35" spans="1:8" ht="15.75" customHeight="1">
      <c r="A35" s="64" t="s">
        <v>3</v>
      </c>
      <c r="B35" s="194" t="s">
        <v>302</v>
      </c>
      <c r="C35" s="192"/>
      <c r="D35" s="192"/>
      <c r="E35" s="192"/>
      <c r="F35" s="192"/>
      <c r="G35" s="193"/>
      <c r="H35" s="65"/>
    </row>
    <row r="36" spans="1:8" ht="15.75" customHeight="1">
      <c r="A36" s="64" t="s">
        <v>5</v>
      </c>
      <c r="B36" s="194" t="s">
        <v>312</v>
      </c>
      <c r="C36" s="192"/>
      <c r="D36" s="192"/>
      <c r="E36" s="192"/>
      <c r="F36" s="192"/>
      <c r="G36" s="195"/>
      <c r="H36" s="65">
        <f>H34*40%</f>
        <v>640.62</v>
      </c>
    </row>
    <row r="37" spans="1:8" ht="15.75" customHeight="1">
      <c r="A37" s="64" t="s">
        <v>6</v>
      </c>
      <c r="B37" s="426" t="s">
        <v>303</v>
      </c>
      <c r="C37" s="427"/>
      <c r="D37" s="427"/>
      <c r="E37" s="427"/>
      <c r="F37" s="427"/>
      <c r="G37" s="428"/>
      <c r="H37" s="284">
        <v>0</v>
      </c>
    </row>
    <row r="38" spans="1:8" ht="15.75" customHeight="1">
      <c r="A38" s="67"/>
      <c r="B38" s="430" t="s">
        <v>14</v>
      </c>
      <c r="C38" s="391"/>
      <c r="D38" s="391"/>
      <c r="E38" s="391"/>
      <c r="F38" s="391"/>
      <c r="G38" s="392"/>
      <c r="H38" s="68">
        <f>SUM(H34:H37)</f>
        <v>2242.17</v>
      </c>
    </row>
    <row r="39" spans="1:8" ht="15.75" customHeight="1">
      <c r="A39" s="69"/>
      <c r="B39" s="69"/>
      <c r="C39" s="69"/>
      <c r="D39" s="69"/>
      <c r="E39" s="69"/>
      <c r="F39" s="69"/>
      <c r="G39" s="69"/>
      <c r="H39" s="69"/>
    </row>
    <row r="40" spans="1:8" ht="15.75" customHeight="1">
      <c r="A40" s="405" t="s">
        <v>41</v>
      </c>
      <c r="B40" s="401"/>
      <c r="C40" s="401"/>
      <c r="D40" s="401"/>
      <c r="E40" s="401"/>
      <c r="F40" s="401"/>
      <c r="G40" s="401"/>
      <c r="H40" s="401"/>
    </row>
    <row r="41" spans="1:8" ht="15.75" customHeight="1">
      <c r="A41" s="411" t="s">
        <v>42</v>
      </c>
      <c r="B41" s="395"/>
      <c r="C41" s="395"/>
      <c r="D41" s="395"/>
      <c r="E41" s="395"/>
      <c r="F41" s="395"/>
      <c r="G41" s="395"/>
      <c r="H41" s="395"/>
    </row>
    <row r="42" spans="1:8" ht="15.75" customHeight="1">
      <c r="A42" s="63" t="s">
        <v>43</v>
      </c>
      <c r="B42" s="70" t="s">
        <v>44</v>
      </c>
      <c r="C42" s="71"/>
      <c r="D42" s="71"/>
      <c r="E42" s="71"/>
      <c r="F42" s="72"/>
      <c r="G42" s="73" t="s">
        <v>45</v>
      </c>
      <c r="H42" s="74" t="s">
        <v>12</v>
      </c>
    </row>
    <row r="43" spans="1:8" ht="15.75" customHeight="1">
      <c r="A43" s="75" t="s">
        <v>1</v>
      </c>
      <c r="B43" s="390" t="s">
        <v>46</v>
      </c>
      <c r="C43" s="391"/>
      <c r="D43" s="391"/>
      <c r="E43" s="391"/>
      <c r="F43" s="392"/>
      <c r="G43" s="76">
        <f>1/12</f>
        <v>8.3333333333333329E-2</v>
      </c>
      <c r="H43" s="65">
        <f>$G$43*$H$38</f>
        <v>186.8475</v>
      </c>
    </row>
    <row r="44" spans="1:8" ht="15.75" customHeight="1">
      <c r="A44" s="75" t="s">
        <v>3</v>
      </c>
      <c r="B44" s="390" t="s">
        <v>47</v>
      </c>
      <c r="C44" s="391"/>
      <c r="D44" s="391"/>
      <c r="E44" s="391"/>
      <c r="F44" s="392"/>
      <c r="G44" s="76">
        <v>2.7799999999999998E-2</v>
      </c>
      <c r="H44" s="77">
        <f>$G$44*$H$38</f>
        <v>62.332325999999995</v>
      </c>
    </row>
    <row r="45" spans="1:8" ht="15.75" customHeight="1">
      <c r="A45" s="67"/>
      <c r="B45" s="393" t="s">
        <v>48</v>
      </c>
      <c r="C45" s="391"/>
      <c r="D45" s="391"/>
      <c r="E45" s="391"/>
      <c r="F45" s="391"/>
      <c r="G45" s="392"/>
      <c r="H45" s="78">
        <f>SUM(H43:H44)</f>
        <v>249.17982599999999</v>
      </c>
    </row>
    <row r="46" spans="1:8" ht="15.75" customHeight="1">
      <c r="A46" s="79"/>
      <c r="B46" s="80"/>
      <c r="C46" s="80"/>
      <c r="D46" s="80"/>
      <c r="E46" s="80"/>
      <c r="F46" s="80"/>
      <c r="G46" s="80"/>
      <c r="H46" s="80"/>
    </row>
    <row r="47" spans="1:8" ht="30" customHeight="1">
      <c r="A47" s="394" t="s">
        <v>49</v>
      </c>
      <c r="B47" s="395"/>
      <c r="C47" s="395"/>
      <c r="D47" s="395"/>
      <c r="E47" s="395"/>
      <c r="F47" s="395"/>
      <c r="G47" s="395"/>
      <c r="H47" s="395"/>
    </row>
    <row r="48" spans="1:8" ht="15.75" customHeight="1">
      <c r="A48" s="81" t="s">
        <v>50</v>
      </c>
      <c r="B48" s="82" t="s">
        <v>51</v>
      </c>
      <c r="C48" s="83"/>
      <c r="D48" s="83"/>
      <c r="E48" s="83"/>
      <c r="F48" s="84"/>
      <c r="G48" s="81" t="s">
        <v>52</v>
      </c>
      <c r="H48" s="81" t="s">
        <v>16</v>
      </c>
    </row>
    <row r="49" spans="1:10" ht="15.75" customHeight="1">
      <c r="A49" s="85" t="s">
        <v>1</v>
      </c>
      <c r="B49" s="390" t="s">
        <v>17</v>
      </c>
      <c r="C49" s="391"/>
      <c r="D49" s="391"/>
      <c r="E49" s="391"/>
      <c r="F49" s="392"/>
      <c r="G49" s="86">
        <v>0.2</v>
      </c>
      <c r="H49" s="87">
        <f>($H$38+$H$45)*$G$49</f>
        <v>498.26996520000006</v>
      </c>
      <c r="J49" s="88"/>
    </row>
    <row r="50" spans="1:10" ht="15.75" customHeight="1">
      <c r="A50" s="75" t="s">
        <v>3</v>
      </c>
      <c r="B50" s="390" t="s">
        <v>53</v>
      </c>
      <c r="C50" s="391"/>
      <c r="D50" s="391"/>
      <c r="E50" s="391"/>
      <c r="F50" s="392"/>
      <c r="G50" s="86">
        <v>2.5000000000000001E-2</v>
      </c>
      <c r="H50" s="87">
        <f>($H$38+$H$45)*$G$50</f>
        <v>62.283745650000007</v>
      </c>
    </row>
    <row r="51" spans="1:10" ht="15.75" customHeight="1">
      <c r="A51" s="75" t="s">
        <v>5</v>
      </c>
      <c r="B51" s="89" t="s">
        <v>301</v>
      </c>
      <c r="C51" s="89" t="s">
        <v>54</v>
      </c>
      <c r="D51" s="157">
        <v>0.03</v>
      </c>
      <c r="E51" s="89" t="s">
        <v>55</v>
      </c>
      <c r="F51" s="89">
        <v>1</v>
      </c>
      <c r="G51" s="90">
        <f>D51*F51</f>
        <v>0.03</v>
      </c>
      <c r="H51" s="87">
        <f>($H$38+$H$45)*$G$51</f>
        <v>74.740494780000006</v>
      </c>
      <c r="I51" s="10" t="s">
        <v>237</v>
      </c>
    </row>
    <row r="52" spans="1:10" ht="15.75" customHeight="1">
      <c r="A52" s="75" t="s">
        <v>6</v>
      </c>
      <c r="B52" s="390" t="s">
        <v>56</v>
      </c>
      <c r="C52" s="391"/>
      <c r="D52" s="391"/>
      <c r="E52" s="391"/>
      <c r="F52" s="392"/>
      <c r="G52" s="86">
        <v>1.4999999999999999E-2</v>
      </c>
      <c r="H52" s="87">
        <f>($H$38+$H$45)*$G$52</f>
        <v>37.370247390000003</v>
      </c>
    </row>
    <row r="53" spans="1:10" ht="15.75" customHeight="1">
      <c r="A53" s="75" t="s">
        <v>7</v>
      </c>
      <c r="B53" s="390" t="s">
        <v>57</v>
      </c>
      <c r="C53" s="391"/>
      <c r="D53" s="391"/>
      <c r="E53" s="391"/>
      <c r="F53" s="392"/>
      <c r="G53" s="86">
        <v>0.01</v>
      </c>
      <c r="H53" s="87">
        <f>($H$38+$H$45)*$G$53</f>
        <v>24.913498260000001</v>
      </c>
    </row>
    <row r="54" spans="1:10" ht="15.75" customHeight="1">
      <c r="A54" s="75" t="s">
        <v>8</v>
      </c>
      <c r="B54" s="390" t="s">
        <v>20</v>
      </c>
      <c r="C54" s="391"/>
      <c r="D54" s="391"/>
      <c r="E54" s="391"/>
      <c r="F54" s="392"/>
      <c r="G54" s="86">
        <v>6.0000000000000001E-3</v>
      </c>
      <c r="H54" s="87">
        <f>($H$38+$H$45)*$G$54</f>
        <v>14.948098956000001</v>
      </c>
    </row>
    <row r="55" spans="1:10" ht="15.75" customHeight="1">
      <c r="A55" s="85" t="s">
        <v>9</v>
      </c>
      <c r="B55" s="390" t="s">
        <v>18</v>
      </c>
      <c r="C55" s="391"/>
      <c r="D55" s="391"/>
      <c r="E55" s="391"/>
      <c r="F55" s="392"/>
      <c r="G55" s="86">
        <v>2E-3</v>
      </c>
      <c r="H55" s="87">
        <f>($H$38+$H$45)*$G$55</f>
        <v>4.982699652</v>
      </c>
    </row>
    <row r="56" spans="1:10" ht="15.75" customHeight="1">
      <c r="A56" s="85" t="s">
        <v>58</v>
      </c>
      <c r="B56" s="390" t="s">
        <v>19</v>
      </c>
      <c r="C56" s="391"/>
      <c r="D56" s="391"/>
      <c r="E56" s="391"/>
      <c r="F56" s="392"/>
      <c r="G56" s="91">
        <v>0.08</v>
      </c>
      <c r="H56" s="87">
        <f>($H$38+$H$45)*$G$56</f>
        <v>199.30798608000001</v>
      </c>
    </row>
    <row r="57" spans="1:10" ht="15.75" customHeight="1">
      <c r="A57" s="92" t="s">
        <v>59</v>
      </c>
      <c r="B57" s="70"/>
      <c r="C57" s="71"/>
      <c r="D57" s="71"/>
      <c r="E57" s="71"/>
      <c r="F57" s="72"/>
      <c r="G57" s="93">
        <f>SUM(G49:G56)</f>
        <v>0.36800000000000005</v>
      </c>
      <c r="H57" s="94">
        <f>SUM($H$49:$H$56)</f>
        <v>916.81673596799999</v>
      </c>
    </row>
    <row r="58" spans="1:10" ht="15.75" customHeight="1">
      <c r="A58" s="191" t="s">
        <v>292</v>
      </c>
      <c r="B58" s="188"/>
      <c r="C58" s="188"/>
      <c r="D58" s="188"/>
      <c r="E58" s="188"/>
      <c r="F58" s="188"/>
      <c r="G58" s="189"/>
      <c r="H58" s="190"/>
    </row>
    <row r="59" spans="1:10" ht="15.75" customHeight="1">
      <c r="A59" s="95"/>
      <c r="B59" s="95"/>
      <c r="C59" s="95"/>
      <c r="D59" s="95"/>
      <c r="E59" s="95"/>
      <c r="F59" s="95"/>
      <c r="G59" s="95"/>
      <c r="H59" s="95"/>
    </row>
    <row r="60" spans="1:10" ht="15.75" customHeight="1">
      <c r="A60" s="411" t="s">
        <v>60</v>
      </c>
      <c r="B60" s="395"/>
      <c r="C60" s="395"/>
      <c r="D60" s="395"/>
      <c r="E60" s="395"/>
      <c r="F60" s="395"/>
      <c r="G60" s="395"/>
      <c r="H60" s="395"/>
    </row>
    <row r="61" spans="1:10" ht="15.75" customHeight="1">
      <c r="A61" s="63" t="s">
        <v>61</v>
      </c>
      <c r="B61" s="393" t="s">
        <v>62</v>
      </c>
      <c r="C61" s="391"/>
      <c r="D61" s="391"/>
      <c r="E61" s="391"/>
      <c r="F61" s="391"/>
      <c r="G61" s="392"/>
      <c r="H61" s="73" t="s">
        <v>12</v>
      </c>
    </row>
    <row r="62" spans="1:10" ht="15.75" customHeight="1">
      <c r="A62" s="75" t="s">
        <v>1</v>
      </c>
      <c r="B62" s="431" t="s">
        <v>314</v>
      </c>
      <c r="C62" s="391"/>
      <c r="D62" s="391"/>
      <c r="E62" s="391"/>
      <c r="F62" s="391"/>
      <c r="G62" s="392"/>
      <c r="H62" s="96">
        <f>C156</f>
        <v>54.669799999999981</v>
      </c>
    </row>
    <row r="63" spans="1:10" ht="15.75" customHeight="1">
      <c r="A63" s="75" t="s">
        <v>3</v>
      </c>
      <c r="B63" s="97" t="s">
        <v>313</v>
      </c>
      <c r="C63" s="98"/>
      <c r="D63" s="98"/>
      <c r="E63" s="98"/>
      <c r="F63" s="99"/>
      <c r="G63" s="100">
        <f>E161</f>
        <v>550</v>
      </c>
      <c r="H63" s="96">
        <f>C167</f>
        <v>489.5</v>
      </c>
    </row>
    <row r="64" spans="1:10" ht="15.75" customHeight="1">
      <c r="A64" s="75" t="s">
        <v>5</v>
      </c>
      <c r="B64" s="432" t="s">
        <v>315</v>
      </c>
      <c r="C64" s="433"/>
      <c r="D64" s="433"/>
      <c r="E64" s="433"/>
      <c r="F64" s="433"/>
      <c r="G64" s="434"/>
      <c r="H64" s="4">
        <f>H38*9%</f>
        <v>201.7953</v>
      </c>
    </row>
    <row r="65" spans="1:13" ht="15.75" customHeight="1">
      <c r="A65" s="75" t="s">
        <v>6</v>
      </c>
      <c r="B65" s="435" t="s">
        <v>316</v>
      </c>
      <c r="C65" s="436"/>
      <c r="D65" s="436"/>
      <c r="E65" s="436"/>
      <c r="F65" s="436"/>
      <c r="G65" s="437"/>
      <c r="H65" s="4">
        <v>4</v>
      </c>
    </row>
    <row r="66" spans="1:13" ht="15.75" customHeight="1">
      <c r="A66" s="75" t="s">
        <v>7</v>
      </c>
      <c r="B66" s="435" t="s">
        <v>324</v>
      </c>
      <c r="C66" s="436"/>
      <c r="D66" s="436"/>
      <c r="E66" s="436"/>
      <c r="F66" s="436"/>
      <c r="G66" s="437"/>
      <c r="H66" s="4">
        <v>16</v>
      </c>
    </row>
    <row r="67" spans="1:13" ht="15.75" customHeight="1">
      <c r="A67" s="75" t="s">
        <v>8</v>
      </c>
      <c r="B67" s="181" t="s">
        <v>325</v>
      </c>
      <c r="C67" s="182"/>
      <c r="D67" s="182"/>
      <c r="E67" s="182"/>
      <c r="F67" s="182"/>
      <c r="G67" s="183"/>
      <c r="H67" s="4">
        <v>72.37</v>
      </c>
    </row>
    <row r="68" spans="1:13" ht="15.75" customHeight="1">
      <c r="A68" s="75" t="s">
        <v>9</v>
      </c>
      <c r="B68" s="181"/>
      <c r="C68" s="182"/>
      <c r="D68" s="182"/>
      <c r="E68" s="182"/>
      <c r="F68" s="182"/>
      <c r="G68" s="183"/>
      <c r="H68" s="4">
        <v>0</v>
      </c>
    </row>
    <row r="69" spans="1:13" ht="15.75" customHeight="1">
      <c r="A69" s="85" t="s">
        <v>58</v>
      </c>
      <c r="B69" s="438" t="s">
        <v>63</v>
      </c>
      <c r="C69" s="391"/>
      <c r="D69" s="391"/>
      <c r="E69" s="391"/>
      <c r="F69" s="391"/>
      <c r="G69" s="392"/>
      <c r="H69" s="101">
        <v>0</v>
      </c>
    </row>
    <row r="70" spans="1:13" ht="15.75" customHeight="1">
      <c r="A70" s="67"/>
      <c r="B70" s="430" t="s">
        <v>48</v>
      </c>
      <c r="C70" s="391"/>
      <c r="D70" s="391"/>
      <c r="E70" s="391"/>
      <c r="F70" s="391"/>
      <c r="G70" s="392"/>
      <c r="H70" s="78">
        <f>SUM(H62:H69)</f>
        <v>838.33510000000001</v>
      </c>
    </row>
    <row r="71" spans="1:13" ht="15.75" customHeight="1">
      <c r="A71" s="102"/>
      <c r="B71" s="103"/>
      <c r="C71" s="103"/>
      <c r="D71" s="103"/>
      <c r="E71" s="103"/>
      <c r="F71" s="103"/>
      <c r="G71" s="103"/>
      <c r="H71" s="104"/>
      <c r="M71" s="88"/>
    </row>
    <row r="72" spans="1:13" ht="15.75" customHeight="1">
      <c r="A72" s="439" t="s">
        <v>64</v>
      </c>
      <c r="B72" s="440"/>
      <c r="C72" s="440"/>
      <c r="D72" s="440"/>
      <c r="E72" s="440"/>
      <c r="F72" s="440"/>
      <c r="G72" s="440"/>
      <c r="H72" s="441"/>
      <c r="I72" s="105"/>
    </row>
    <row r="73" spans="1:13" ht="15.75" customHeight="1">
      <c r="A73" s="73">
        <v>2</v>
      </c>
      <c r="B73" s="393" t="s">
        <v>65</v>
      </c>
      <c r="C73" s="391"/>
      <c r="D73" s="391"/>
      <c r="E73" s="391"/>
      <c r="F73" s="391"/>
      <c r="G73" s="392"/>
      <c r="H73" s="73" t="s">
        <v>12</v>
      </c>
    </row>
    <row r="74" spans="1:13" ht="15.75" customHeight="1">
      <c r="A74" s="75" t="s">
        <v>43</v>
      </c>
      <c r="B74" s="431" t="s">
        <v>66</v>
      </c>
      <c r="C74" s="391"/>
      <c r="D74" s="391"/>
      <c r="E74" s="391"/>
      <c r="F74" s="391"/>
      <c r="G74" s="392"/>
      <c r="H74" s="96">
        <f>$H$45</f>
        <v>249.17982599999999</v>
      </c>
    </row>
    <row r="75" spans="1:13" ht="15.75" customHeight="1">
      <c r="A75" s="75" t="s">
        <v>50</v>
      </c>
      <c r="B75" s="431" t="s">
        <v>51</v>
      </c>
      <c r="C75" s="391"/>
      <c r="D75" s="391"/>
      <c r="E75" s="391"/>
      <c r="F75" s="391"/>
      <c r="G75" s="392"/>
      <c r="H75" s="96">
        <f>$H$57</f>
        <v>916.81673596799999</v>
      </c>
    </row>
    <row r="76" spans="1:13" ht="15.75" customHeight="1">
      <c r="A76" s="75" t="s">
        <v>61</v>
      </c>
      <c r="B76" s="406" t="s">
        <v>67</v>
      </c>
      <c r="C76" s="391"/>
      <c r="D76" s="391"/>
      <c r="E76" s="391"/>
      <c r="F76" s="391"/>
      <c r="G76" s="392"/>
      <c r="H76" s="96">
        <f>$H$70</f>
        <v>838.33510000000001</v>
      </c>
    </row>
    <row r="77" spans="1:13" ht="15.75" customHeight="1">
      <c r="A77" s="106"/>
      <c r="B77" s="430" t="s">
        <v>68</v>
      </c>
      <c r="C77" s="391"/>
      <c r="D77" s="391"/>
      <c r="E77" s="391"/>
      <c r="F77" s="391"/>
      <c r="G77" s="392"/>
      <c r="H77" s="78">
        <f>SUM(H74:H76)</f>
        <v>2004.3316619679999</v>
      </c>
    </row>
    <row r="78" spans="1:13" ht="15.75" customHeight="1">
      <c r="A78" s="102"/>
      <c r="B78" s="103"/>
      <c r="C78" s="103"/>
      <c r="D78" s="103"/>
      <c r="E78" s="103"/>
      <c r="F78" s="103"/>
      <c r="G78" s="103"/>
      <c r="H78" s="104"/>
    </row>
    <row r="79" spans="1:13" ht="15.75" customHeight="1">
      <c r="A79" s="442" t="s">
        <v>69</v>
      </c>
      <c r="B79" s="443"/>
      <c r="C79" s="443"/>
      <c r="D79" s="443"/>
      <c r="E79" s="443"/>
      <c r="F79" s="443"/>
      <c r="G79" s="443"/>
      <c r="H79" s="444"/>
    </row>
    <row r="80" spans="1:13" ht="15.75" customHeight="1">
      <c r="A80" s="74">
        <v>3</v>
      </c>
      <c r="B80" s="447" t="s">
        <v>70</v>
      </c>
      <c r="C80" s="391"/>
      <c r="D80" s="391"/>
      <c r="E80" s="391"/>
      <c r="F80" s="392"/>
      <c r="G80" s="107" t="s">
        <v>52</v>
      </c>
      <c r="H80" s="74" t="s">
        <v>71</v>
      </c>
      <c r="J80" s="108"/>
    </row>
    <row r="81" spans="1:11" ht="15.75" customHeight="1">
      <c r="A81" s="109" t="s">
        <v>1</v>
      </c>
      <c r="B81" s="110" t="s">
        <v>214</v>
      </c>
      <c r="C81" s="111"/>
      <c r="D81" s="111"/>
      <c r="E81" s="111"/>
      <c r="F81" s="112"/>
      <c r="G81" s="91">
        <f>(5%*(1/12))</f>
        <v>4.1666666666666666E-3</v>
      </c>
      <c r="H81" s="113">
        <f t="shared" ref="H81:H86" si="0">G81*$H$38</f>
        <v>9.3423750000000005</v>
      </c>
      <c r="K81" s="108"/>
    </row>
    <row r="82" spans="1:11" ht="15.75" customHeight="1">
      <c r="A82" s="114" t="s">
        <v>3</v>
      </c>
      <c r="B82" s="110" t="s">
        <v>215</v>
      </c>
      <c r="C82" s="111"/>
      <c r="D82" s="111"/>
      <c r="E82" s="111"/>
      <c r="F82" s="112"/>
      <c r="G82" s="91">
        <f>G81*G56</f>
        <v>3.3333333333333332E-4</v>
      </c>
      <c r="H82" s="113">
        <f t="shared" si="0"/>
        <v>0.74739</v>
      </c>
      <c r="I82" s="88"/>
      <c r="J82" s="115"/>
      <c r="K82" s="88"/>
    </row>
    <row r="83" spans="1:11" ht="15.75" customHeight="1">
      <c r="A83" s="85" t="s">
        <v>5</v>
      </c>
      <c r="B83" s="97" t="s">
        <v>72</v>
      </c>
      <c r="C83" s="98"/>
      <c r="D83" s="98"/>
      <c r="E83" s="98"/>
      <c r="F83" s="99"/>
      <c r="G83" s="91">
        <f>((0.08*0.4*0.9)*(1+0.0833+0.09075+0.03025))</f>
        <v>3.4683840000000001E-2</v>
      </c>
      <c r="H83" s="113">
        <f t="shared" si="0"/>
        <v>77.767065532800004</v>
      </c>
      <c r="J83" s="105"/>
    </row>
    <row r="84" spans="1:11" ht="15.75" customHeight="1">
      <c r="A84" s="114" t="s">
        <v>6</v>
      </c>
      <c r="B84" s="110" t="s">
        <v>216</v>
      </c>
      <c r="C84" s="111"/>
      <c r="D84" s="111"/>
      <c r="E84" s="111"/>
      <c r="F84" s="112"/>
      <c r="G84" s="91">
        <f>((1/30)*7)/12</f>
        <v>1.9444444444444445E-2</v>
      </c>
      <c r="H84" s="113">
        <f t="shared" si="0"/>
        <v>43.597750000000005</v>
      </c>
      <c r="J84" s="105"/>
    </row>
    <row r="85" spans="1:11" ht="15.75" customHeight="1">
      <c r="A85" s="116" t="s">
        <v>7</v>
      </c>
      <c r="B85" s="110" t="s">
        <v>217</v>
      </c>
      <c r="C85" s="111"/>
      <c r="D85" s="111"/>
      <c r="E85" s="111"/>
      <c r="F85" s="112"/>
      <c r="G85" s="91">
        <f>(G57*G84)</f>
        <v>7.1555555555555565E-3</v>
      </c>
      <c r="H85" s="113">
        <f t="shared" si="0"/>
        <v>16.043972000000004</v>
      </c>
    </row>
    <row r="86" spans="1:11" ht="15.75" customHeight="1">
      <c r="A86" s="75" t="s">
        <v>8</v>
      </c>
      <c r="B86" s="97" t="s">
        <v>73</v>
      </c>
      <c r="C86" s="98"/>
      <c r="D86" s="98"/>
      <c r="E86" s="98"/>
      <c r="F86" s="99"/>
      <c r="G86" s="91">
        <f>ROUNDUP(((0.08*0.4)*G57)/100,4)</f>
        <v>2.0000000000000001E-4</v>
      </c>
      <c r="H86" s="113">
        <f t="shared" si="0"/>
        <v>0.44843400000000005</v>
      </c>
      <c r="I86" s="88"/>
      <c r="J86" s="88"/>
    </row>
    <row r="87" spans="1:11" ht="15.75" customHeight="1">
      <c r="A87" s="445" t="s">
        <v>59</v>
      </c>
      <c r="B87" s="391"/>
      <c r="C87" s="391"/>
      <c r="D87" s="391"/>
      <c r="E87" s="391"/>
      <c r="F87" s="391"/>
      <c r="G87" s="392"/>
      <c r="H87" s="117">
        <f>TRUNC(SUM(H81:H86),2)</f>
        <v>147.94</v>
      </c>
      <c r="K87" s="88"/>
    </row>
    <row r="88" spans="1:11" ht="39" customHeight="1">
      <c r="A88" s="448" t="s">
        <v>218</v>
      </c>
      <c r="B88" s="449"/>
      <c r="C88" s="449"/>
      <c r="D88" s="449"/>
      <c r="E88" s="449"/>
      <c r="F88" s="449"/>
      <c r="G88" s="449"/>
      <c r="H88" s="449"/>
      <c r="I88" s="118"/>
    </row>
    <row r="89" spans="1:11" ht="21.75" customHeight="1">
      <c r="A89" s="450" t="s">
        <v>74</v>
      </c>
      <c r="B89" s="401"/>
      <c r="C89" s="401"/>
      <c r="D89" s="401"/>
      <c r="E89" s="401"/>
      <c r="F89" s="401"/>
      <c r="G89" s="401"/>
      <c r="H89" s="401"/>
      <c r="I89" s="118"/>
    </row>
    <row r="90" spans="1:11" ht="15.75" customHeight="1">
      <c r="A90" s="102"/>
      <c r="B90" s="103"/>
      <c r="C90" s="103"/>
      <c r="D90" s="103"/>
      <c r="E90" s="103"/>
      <c r="F90" s="103"/>
      <c r="G90" s="103"/>
      <c r="H90" s="104"/>
      <c r="I90" s="118"/>
    </row>
    <row r="91" spans="1:11" ht="15.75" customHeight="1">
      <c r="A91" s="442" t="s">
        <v>75</v>
      </c>
      <c r="B91" s="443"/>
      <c r="C91" s="443"/>
      <c r="D91" s="443"/>
      <c r="E91" s="443"/>
      <c r="F91" s="443"/>
      <c r="G91" s="443"/>
      <c r="H91" s="444"/>
    </row>
    <row r="92" spans="1:11" ht="15.75" customHeight="1">
      <c r="A92" s="451" t="s">
        <v>76</v>
      </c>
      <c r="B92" s="440"/>
      <c r="C92" s="440"/>
      <c r="D92" s="440"/>
      <c r="E92" s="440"/>
      <c r="F92" s="440"/>
      <c r="G92" s="440"/>
      <c r="H92" s="441"/>
    </row>
    <row r="93" spans="1:11" ht="45" customHeight="1">
      <c r="A93" s="74" t="s">
        <v>77</v>
      </c>
      <c r="B93" s="424" t="s">
        <v>78</v>
      </c>
      <c r="C93" s="391"/>
      <c r="D93" s="391"/>
      <c r="E93" s="391"/>
      <c r="F93" s="392"/>
      <c r="G93" s="107" t="s">
        <v>79</v>
      </c>
      <c r="H93" s="74" t="s">
        <v>71</v>
      </c>
      <c r="I93" s="119"/>
    </row>
    <row r="94" spans="1:11" ht="15.75" customHeight="1">
      <c r="A94" s="85" t="s">
        <v>1</v>
      </c>
      <c r="B94" s="390" t="s">
        <v>80</v>
      </c>
      <c r="C94" s="391"/>
      <c r="D94" s="391"/>
      <c r="E94" s="391"/>
      <c r="F94" s="392"/>
      <c r="G94" s="120">
        <v>9.0749999999999997E-2</v>
      </c>
      <c r="H94" s="113">
        <f t="shared" ref="H94:H99" si="1">G94*$H$38</f>
        <v>203.47692749999999</v>
      </c>
      <c r="J94" s="88"/>
    </row>
    <row r="95" spans="1:11" ht="15.75" customHeight="1">
      <c r="A95" s="75" t="s">
        <v>3</v>
      </c>
      <c r="B95" s="390" t="s">
        <v>81</v>
      </c>
      <c r="C95" s="391"/>
      <c r="D95" s="391"/>
      <c r="E95" s="391"/>
      <c r="F95" s="392"/>
      <c r="G95" s="120">
        <v>1.6299999999999999E-2</v>
      </c>
      <c r="H95" s="113">
        <f t="shared" si="1"/>
        <v>36.547370999999998</v>
      </c>
    </row>
    <row r="96" spans="1:11" ht="15.75" customHeight="1">
      <c r="A96" s="85" t="s">
        <v>5</v>
      </c>
      <c r="B96" s="390" t="s">
        <v>82</v>
      </c>
      <c r="C96" s="391"/>
      <c r="D96" s="391"/>
      <c r="E96" s="391"/>
      <c r="F96" s="392"/>
      <c r="G96" s="120">
        <v>2.0000000000000001E-4</v>
      </c>
      <c r="H96" s="113">
        <f t="shared" si="1"/>
        <v>0.44843400000000005</v>
      </c>
    </row>
    <row r="97" spans="1:8" ht="15.75" customHeight="1">
      <c r="A97" s="75" t="s">
        <v>6</v>
      </c>
      <c r="B97" s="390" t="s">
        <v>83</v>
      </c>
      <c r="C97" s="391"/>
      <c r="D97" s="391"/>
      <c r="E97" s="391"/>
      <c r="F97" s="392"/>
      <c r="G97" s="120">
        <v>3.3E-3</v>
      </c>
      <c r="H97" s="113">
        <f t="shared" si="1"/>
        <v>7.3991610000000003</v>
      </c>
    </row>
    <row r="98" spans="1:8" ht="15.75" customHeight="1">
      <c r="A98" s="85" t="s">
        <v>7</v>
      </c>
      <c r="B98" s="390" t="s">
        <v>84</v>
      </c>
      <c r="C98" s="391"/>
      <c r="D98" s="391"/>
      <c r="E98" s="391"/>
      <c r="F98" s="392"/>
      <c r="G98" s="120">
        <v>5.5000000000000003E-4</v>
      </c>
      <c r="H98" s="113">
        <f t="shared" si="1"/>
        <v>1.2331935000000001</v>
      </c>
    </row>
    <row r="99" spans="1:8" ht="15.75" customHeight="1">
      <c r="A99" s="75" t="s">
        <v>8</v>
      </c>
      <c r="B99" s="121" t="s">
        <v>85</v>
      </c>
      <c r="C99" s="122"/>
      <c r="D99" s="122"/>
      <c r="E99" s="122"/>
      <c r="F99" s="123"/>
      <c r="G99" s="124">
        <v>0</v>
      </c>
      <c r="H99" s="113">
        <f t="shared" si="1"/>
        <v>0</v>
      </c>
    </row>
    <row r="100" spans="1:8" ht="15.75" customHeight="1">
      <c r="A100" s="445" t="s">
        <v>86</v>
      </c>
      <c r="B100" s="391"/>
      <c r="C100" s="391"/>
      <c r="D100" s="391"/>
      <c r="E100" s="391"/>
      <c r="F100" s="392"/>
      <c r="G100" s="125">
        <f>SUM(G94:G99)</f>
        <v>0.11109999999999999</v>
      </c>
      <c r="H100" s="117">
        <f>SUM(H94:H99)</f>
        <v>249.10508699999997</v>
      </c>
    </row>
    <row r="101" spans="1:8" ht="15.75" customHeight="1">
      <c r="A101" s="85" t="s">
        <v>9</v>
      </c>
      <c r="B101" s="126" t="s">
        <v>87</v>
      </c>
      <c r="C101" s="127"/>
      <c r="D101" s="127"/>
      <c r="E101" s="127"/>
      <c r="F101" s="128"/>
      <c r="G101" s="120">
        <f>SUM(G94:G99)*G57</f>
        <v>4.0884799999999999E-2</v>
      </c>
      <c r="H101" s="113">
        <f>G101*$H$38</f>
        <v>91.670672015999997</v>
      </c>
    </row>
    <row r="102" spans="1:8" ht="15.75" customHeight="1">
      <c r="A102" s="445" t="s">
        <v>86</v>
      </c>
      <c r="B102" s="391"/>
      <c r="C102" s="391"/>
      <c r="D102" s="391"/>
      <c r="E102" s="391"/>
      <c r="F102" s="392"/>
      <c r="G102" s="125">
        <f>SUM(G100:G101)</f>
        <v>0.15198479999999998</v>
      </c>
      <c r="H102" s="117">
        <f>SUM(H100:H101)</f>
        <v>340.77575901599994</v>
      </c>
    </row>
    <row r="103" spans="1:8" ht="15.75" customHeight="1">
      <c r="A103" s="446" t="s">
        <v>88</v>
      </c>
      <c r="B103" s="391"/>
      <c r="C103" s="391"/>
      <c r="D103" s="391"/>
      <c r="E103" s="391"/>
      <c r="F103" s="391"/>
      <c r="G103" s="392"/>
      <c r="H103" s="129">
        <f>($H$136+$H$137+$H$138)/30</f>
        <v>146.48138873226665</v>
      </c>
    </row>
    <row r="104" spans="1:8" ht="15.75" customHeight="1">
      <c r="A104" s="95"/>
      <c r="B104" s="95"/>
      <c r="C104" s="95"/>
      <c r="D104" s="95"/>
      <c r="E104" s="95"/>
      <c r="F104" s="95"/>
      <c r="G104" s="95"/>
      <c r="H104" s="95"/>
    </row>
    <row r="105" spans="1:8" ht="15.75" customHeight="1">
      <c r="A105" s="439" t="s">
        <v>89</v>
      </c>
      <c r="B105" s="440"/>
      <c r="C105" s="440"/>
      <c r="D105" s="440"/>
      <c r="E105" s="440"/>
      <c r="F105" s="440"/>
      <c r="G105" s="440"/>
      <c r="H105" s="441"/>
    </row>
    <row r="106" spans="1:8" ht="15.75" customHeight="1">
      <c r="A106" s="73">
        <v>4</v>
      </c>
      <c r="B106" s="393" t="s">
        <v>65</v>
      </c>
      <c r="C106" s="391"/>
      <c r="D106" s="391"/>
      <c r="E106" s="391"/>
      <c r="F106" s="391"/>
      <c r="G106" s="392"/>
      <c r="H106" s="73" t="s">
        <v>12</v>
      </c>
    </row>
    <row r="107" spans="1:8" ht="15.75" customHeight="1">
      <c r="A107" s="75" t="s">
        <v>77</v>
      </c>
      <c r="B107" s="431" t="s">
        <v>90</v>
      </c>
      <c r="C107" s="391"/>
      <c r="D107" s="391"/>
      <c r="E107" s="391"/>
      <c r="F107" s="391"/>
      <c r="G107" s="392"/>
      <c r="H107" s="96">
        <f>$H$102</f>
        <v>340.77575901599994</v>
      </c>
    </row>
    <row r="108" spans="1:8" ht="15.75" customHeight="1">
      <c r="A108" s="106"/>
      <c r="B108" s="430" t="s">
        <v>68</v>
      </c>
      <c r="C108" s="391"/>
      <c r="D108" s="391"/>
      <c r="E108" s="391"/>
      <c r="F108" s="391"/>
      <c r="G108" s="392"/>
      <c r="H108" s="130">
        <f>SUM(H107)</f>
        <v>340.77575901599994</v>
      </c>
    </row>
    <row r="109" spans="1:8" ht="15.75" customHeight="1">
      <c r="A109" s="95"/>
      <c r="B109" s="95"/>
      <c r="C109" s="95"/>
      <c r="D109" s="95"/>
      <c r="E109" s="95"/>
      <c r="F109" s="95"/>
      <c r="G109" s="95"/>
      <c r="H109" s="95"/>
    </row>
    <row r="110" spans="1:8" ht="15.75" customHeight="1">
      <c r="A110" s="405" t="s">
        <v>91</v>
      </c>
      <c r="B110" s="401"/>
      <c r="C110" s="401"/>
      <c r="D110" s="401"/>
      <c r="E110" s="401"/>
      <c r="F110" s="401"/>
      <c r="G110" s="401"/>
      <c r="H110" s="401"/>
    </row>
    <row r="111" spans="1:8" ht="15.75" customHeight="1">
      <c r="A111" s="73">
        <v>5</v>
      </c>
      <c r="B111" s="393" t="s">
        <v>92</v>
      </c>
      <c r="C111" s="391"/>
      <c r="D111" s="391"/>
      <c r="E111" s="391"/>
      <c r="F111" s="391"/>
      <c r="G111" s="392"/>
      <c r="H111" s="73" t="s">
        <v>12</v>
      </c>
    </row>
    <row r="112" spans="1:8" ht="15.75" customHeight="1">
      <c r="A112" s="75" t="s">
        <v>1</v>
      </c>
      <c r="B112" s="431" t="s">
        <v>93</v>
      </c>
      <c r="C112" s="391"/>
      <c r="D112" s="391"/>
      <c r="E112" s="391"/>
      <c r="F112" s="391"/>
      <c r="G112" s="392"/>
      <c r="H112" s="96">
        <f>'Insumos DIV UNIFORME SERVENTE'!J21</f>
        <v>36.805833333333332</v>
      </c>
    </row>
    <row r="113" spans="1:8" ht="15.75" customHeight="1">
      <c r="A113" s="114" t="s">
        <v>3</v>
      </c>
      <c r="B113" s="410" t="s">
        <v>220</v>
      </c>
      <c r="C113" s="391"/>
      <c r="D113" s="391"/>
      <c r="E113" s="391"/>
      <c r="F113" s="391"/>
      <c r="G113" s="392"/>
      <c r="H113" s="131">
        <f>'Insumos Diversos SERVENTE Sede'!K23</f>
        <v>103.06780555555555</v>
      </c>
    </row>
    <row r="114" spans="1:8" ht="15.75" customHeight="1">
      <c r="A114" s="114" t="s">
        <v>5</v>
      </c>
      <c r="B114" s="410" t="s">
        <v>219</v>
      </c>
      <c r="C114" s="391"/>
      <c r="D114" s="391"/>
      <c r="E114" s="391"/>
      <c r="F114" s="391"/>
      <c r="G114" s="392"/>
      <c r="H114" s="131">
        <v>0</v>
      </c>
    </row>
    <row r="115" spans="1:8" ht="15.75" customHeight="1">
      <c r="A115" s="75" t="s">
        <v>6</v>
      </c>
      <c r="B115" s="478" t="s">
        <v>94</v>
      </c>
      <c r="C115" s="479"/>
      <c r="D115" s="479"/>
      <c r="E115" s="479"/>
      <c r="F115" s="479"/>
      <c r="G115" s="480"/>
      <c r="H115" s="283">
        <v>0</v>
      </c>
    </row>
    <row r="116" spans="1:8" ht="15.75" customHeight="1">
      <c r="A116" s="106"/>
      <c r="B116" s="430" t="s">
        <v>68</v>
      </c>
      <c r="C116" s="391"/>
      <c r="D116" s="391"/>
      <c r="E116" s="391"/>
      <c r="F116" s="391"/>
      <c r="G116" s="392"/>
      <c r="H116" s="78">
        <f>SUM(H112:H115)</f>
        <v>139.87363888888888</v>
      </c>
    </row>
    <row r="117" spans="1:8" ht="32.25" customHeight="1">
      <c r="A117" s="448" t="s">
        <v>221</v>
      </c>
      <c r="B117" s="449"/>
      <c r="C117" s="449"/>
      <c r="D117" s="449"/>
      <c r="E117" s="449"/>
      <c r="F117" s="449"/>
      <c r="G117" s="449"/>
      <c r="H117" s="449"/>
    </row>
    <row r="118" spans="1:8" ht="15.75" customHeight="1">
      <c r="A118" s="132"/>
      <c r="B118" s="132"/>
      <c r="C118" s="132"/>
      <c r="D118" s="132"/>
      <c r="E118" s="132"/>
      <c r="F118" s="132"/>
      <c r="G118" s="132"/>
      <c r="H118" s="132"/>
    </row>
    <row r="119" spans="1:8" ht="15.75" customHeight="1">
      <c r="A119" s="442" t="s">
        <v>95</v>
      </c>
      <c r="B119" s="443"/>
      <c r="C119" s="443"/>
      <c r="D119" s="443"/>
      <c r="E119" s="443"/>
      <c r="F119" s="443"/>
      <c r="G119" s="443"/>
      <c r="H119" s="444"/>
    </row>
    <row r="120" spans="1:8" ht="15.75" customHeight="1">
      <c r="A120" s="73">
        <v>6</v>
      </c>
      <c r="B120" s="447" t="s">
        <v>96</v>
      </c>
      <c r="C120" s="391"/>
      <c r="D120" s="391"/>
      <c r="E120" s="391"/>
      <c r="F120" s="392"/>
      <c r="G120" s="81" t="s">
        <v>52</v>
      </c>
      <c r="H120" s="73" t="s">
        <v>25</v>
      </c>
    </row>
    <row r="121" spans="1:8" ht="15.75" customHeight="1">
      <c r="A121" s="21" t="s">
        <v>1</v>
      </c>
      <c r="B121" s="475" t="s">
        <v>222</v>
      </c>
      <c r="C121" s="391"/>
      <c r="D121" s="391"/>
      <c r="E121" s="391"/>
      <c r="F121" s="392"/>
      <c r="G121" s="285">
        <v>0.05</v>
      </c>
      <c r="H121" s="134">
        <f>$H$141*$G$121</f>
        <v>243.75455299364444</v>
      </c>
    </row>
    <row r="122" spans="1:8" ht="15.75" customHeight="1">
      <c r="A122" s="21" t="s">
        <v>3</v>
      </c>
      <c r="B122" s="475" t="s">
        <v>21</v>
      </c>
      <c r="C122" s="391"/>
      <c r="D122" s="391"/>
      <c r="E122" s="391"/>
      <c r="F122" s="392"/>
      <c r="G122" s="286">
        <v>0.1</v>
      </c>
      <c r="H122" s="134">
        <f>($H$141+$H$121)*$G$122</f>
        <v>511.88456128665331</v>
      </c>
    </row>
    <row r="123" spans="1:8" ht="15.75" customHeight="1">
      <c r="A123" s="21" t="s">
        <v>5</v>
      </c>
      <c r="B123" s="481" t="s">
        <v>22</v>
      </c>
      <c r="C123" s="391"/>
      <c r="D123" s="391"/>
      <c r="E123" s="391"/>
      <c r="F123" s="391"/>
      <c r="G123" s="391"/>
      <c r="H123" s="392"/>
    </row>
    <row r="124" spans="1:8" ht="15.75" customHeight="1">
      <c r="A124" s="136"/>
      <c r="B124" s="137" t="s">
        <v>97</v>
      </c>
      <c r="C124" s="138"/>
      <c r="D124" s="138"/>
      <c r="E124" s="138"/>
      <c r="F124" s="138"/>
      <c r="G124" s="22"/>
      <c r="H124" s="23"/>
    </row>
    <row r="125" spans="1:8" ht="15.75" customHeight="1">
      <c r="A125" s="75"/>
      <c r="B125" s="475" t="s">
        <v>24</v>
      </c>
      <c r="C125" s="391"/>
      <c r="D125" s="391"/>
      <c r="E125" s="391"/>
      <c r="F125" s="392"/>
      <c r="G125" s="139">
        <v>1.6500000000000001E-2</v>
      </c>
      <c r="H125" s="134">
        <f>($H$141+$H$121+$H$122)*$G$125/(1-$G$132)</f>
        <v>108.34641151431788</v>
      </c>
    </row>
    <row r="126" spans="1:8" ht="15.75" customHeight="1">
      <c r="A126" s="75"/>
      <c r="B126" s="475" t="s">
        <v>23</v>
      </c>
      <c r="C126" s="391"/>
      <c r="D126" s="391"/>
      <c r="E126" s="391"/>
      <c r="F126" s="392"/>
      <c r="G126" s="139">
        <v>7.5999999999999998E-2</v>
      </c>
      <c r="H126" s="134">
        <f>($H$141+$H$121+$H$122)*$G$126/(1-$G$132)</f>
        <v>499.05013788413089</v>
      </c>
    </row>
    <row r="127" spans="1:8" ht="15.75" customHeight="1">
      <c r="A127" s="75"/>
      <c r="B127" s="475" t="s">
        <v>98</v>
      </c>
      <c r="C127" s="391"/>
      <c r="D127" s="391"/>
      <c r="E127" s="391"/>
      <c r="F127" s="392"/>
      <c r="G127" s="139"/>
      <c r="H127" s="134">
        <f>(($H$141-$H$140)+$H$121+$H$122)*$G$127/(1-$G$132)</f>
        <v>0</v>
      </c>
    </row>
    <row r="128" spans="1:8" ht="15.75" customHeight="1">
      <c r="A128" s="136"/>
      <c r="B128" s="476" t="s">
        <v>99</v>
      </c>
      <c r="C128" s="391"/>
      <c r="D128" s="391"/>
      <c r="E128" s="391"/>
      <c r="F128" s="477"/>
      <c r="G128" s="140"/>
      <c r="H128" s="141"/>
    </row>
    <row r="129" spans="1:12" ht="15.75" customHeight="1">
      <c r="A129" s="75"/>
      <c r="B129" s="475" t="s">
        <v>100</v>
      </c>
      <c r="C129" s="391"/>
      <c r="D129" s="391"/>
      <c r="E129" s="391"/>
      <c r="F129" s="392"/>
      <c r="G129" s="139">
        <v>0.05</v>
      </c>
      <c r="H129" s="134">
        <f>($H$141+$H$121+$H$122)*$G$129/(1-$G$132)</f>
        <v>328.32245913429659</v>
      </c>
    </row>
    <row r="130" spans="1:12" ht="15.75" customHeight="1">
      <c r="A130" s="142"/>
      <c r="B130" s="137" t="s">
        <v>101</v>
      </c>
      <c r="C130" s="138"/>
      <c r="D130" s="138"/>
      <c r="E130" s="138"/>
      <c r="F130" s="138"/>
      <c r="G130" s="140"/>
      <c r="H130" s="141"/>
    </row>
    <row r="131" spans="1:12" ht="15.75" customHeight="1">
      <c r="A131" s="75"/>
      <c r="B131" s="476" t="s">
        <v>102</v>
      </c>
      <c r="C131" s="391"/>
      <c r="D131" s="391"/>
      <c r="E131" s="391"/>
      <c r="F131" s="477"/>
      <c r="G131" s="139"/>
      <c r="H131" s="134">
        <f>($H$141+$H$121+$H$122)*$G$131/(1-$G$132)</f>
        <v>0</v>
      </c>
    </row>
    <row r="132" spans="1:12" ht="15.75" customHeight="1">
      <c r="A132" s="445" t="s">
        <v>103</v>
      </c>
      <c r="B132" s="477"/>
      <c r="C132" s="143"/>
      <c r="D132" s="143"/>
      <c r="E132" s="143"/>
      <c r="F132" s="143"/>
      <c r="G132" s="93">
        <f>$G$125+$G$126+$G$127+$G$129+$G$131</f>
        <v>0.14250000000000002</v>
      </c>
      <c r="H132" s="117">
        <f>H121+H122+H125+H126+H127+H129+H131</f>
        <v>1691.3581228130431</v>
      </c>
    </row>
    <row r="133" spans="1:12" ht="15.75" customHeight="1">
      <c r="A133" s="474"/>
      <c r="B133" s="474"/>
      <c r="C133" s="474"/>
      <c r="D133" s="474"/>
      <c r="E133" s="474"/>
      <c r="F133" s="474"/>
      <c r="G133" s="474"/>
      <c r="H133" s="474"/>
    </row>
    <row r="134" spans="1:12" ht="15.75" customHeight="1">
      <c r="A134" s="411" t="s">
        <v>104</v>
      </c>
      <c r="B134" s="395"/>
      <c r="C134" s="395"/>
      <c r="D134" s="395"/>
      <c r="E134" s="395"/>
      <c r="F134" s="395"/>
      <c r="G134" s="395"/>
      <c r="H134" s="395"/>
    </row>
    <row r="135" spans="1:12" ht="15.75" customHeight="1">
      <c r="A135" s="430" t="s">
        <v>105</v>
      </c>
      <c r="B135" s="391"/>
      <c r="C135" s="391"/>
      <c r="D135" s="391"/>
      <c r="E135" s="391"/>
      <c r="F135" s="391"/>
      <c r="G135" s="392"/>
      <c r="H135" s="73" t="s">
        <v>25</v>
      </c>
    </row>
    <row r="136" spans="1:12" ht="15.75" customHeight="1">
      <c r="A136" s="12" t="s">
        <v>1</v>
      </c>
      <c r="B136" s="406" t="s">
        <v>106</v>
      </c>
      <c r="C136" s="391"/>
      <c r="D136" s="391"/>
      <c r="E136" s="391"/>
      <c r="F136" s="391"/>
      <c r="G136" s="392"/>
      <c r="H136" s="144">
        <f>$H$38</f>
        <v>2242.17</v>
      </c>
    </row>
    <row r="137" spans="1:12" ht="15.75" customHeight="1">
      <c r="A137" s="12" t="s">
        <v>3</v>
      </c>
      <c r="B137" s="406" t="s">
        <v>107</v>
      </c>
      <c r="C137" s="391"/>
      <c r="D137" s="391"/>
      <c r="E137" s="391"/>
      <c r="F137" s="391"/>
      <c r="G137" s="392"/>
      <c r="H137" s="144">
        <f>$H$77</f>
        <v>2004.3316619679999</v>
      </c>
    </row>
    <row r="138" spans="1:12" ht="15.75" customHeight="1">
      <c r="A138" s="12" t="s">
        <v>5</v>
      </c>
      <c r="B138" s="406" t="s">
        <v>108</v>
      </c>
      <c r="C138" s="391"/>
      <c r="D138" s="391"/>
      <c r="E138" s="391"/>
      <c r="F138" s="391"/>
      <c r="G138" s="392"/>
      <c r="H138" s="144">
        <f>$H$87</f>
        <v>147.94</v>
      </c>
    </row>
    <row r="139" spans="1:12" ht="15.75" customHeight="1">
      <c r="A139" s="12" t="s">
        <v>6</v>
      </c>
      <c r="B139" s="406" t="s">
        <v>75</v>
      </c>
      <c r="C139" s="391"/>
      <c r="D139" s="391"/>
      <c r="E139" s="391"/>
      <c r="F139" s="391"/>
      <c r="G139" s="392"/>
      <c r="H139" s="144">
        <f>$H$108</f>
        <v>340.77575901599994</v>
      </c>
    </row>
    <row r="140" spans="1:12" ht="15.75" customHeight="1">
      <c r="A140" s="12" t="s">
        <v>109</v>
      </c>
      <c r="B140" s="406" t="s">
        <v>110</v>
      </c>
      <c r="C140" s="391"/>
      <c r="D140" s="391"/>
      <c r="E140" s="391"/>
      <c r="F140" s="391"/>
      <c r="G140" s="392"/>
      <c r="H140" s="144">
        <f>$H$116</f>
        <v>139.87363888888888</v>
      </c>
    </row>
    <row r="141" spans="1:12" ht="15.75" customHeight="1">
      <c r="A141" s="470" t="s">
        <v>111</v>
      </c>
      <c r="B141" s="391"/>
      <c r="C141" s="391"/>
      <c r="D141" s="391"/>
      <c r="E141" s="391"/>
      <c r="F141" s="391"/>
      <c r="G141" s="392"/>
      <c r="H141" s="145">
        <f>SUM(H136:H140)</f>
        <v>4875.0910598728888</v>
      </c>
    </row>
    <row r="142" spans="1:12" ht="15.75" customHeight="1">
      <c r="A142" s="146" t="s">
        <v>8</v>
      </c>
      <c r="B142" s="471" t="s">
        <v>112</v>
      </c>
      <c r="C142" s="391"/>
      <c r="D142" s="391"/>
      <c r="E142" s="391"/>
      <c r="F142" s="391"/>
      <c r="G142" s="392"/>
      <c r="H142" s="147">
        <f>$H$132</f>
        <v>1691.3581228130431</v>
      </c>
      <c r="J142" s="148"/>
    </row>
    <row r="143" spans="1:12" ht="15.75" customHeight="1">
      <c r="A143" s="149"/>
      <c r="B143" s="430" t="s">
        <v>113</v>
      </c>
      <c r="C143" s="391"/>
      <c r="D143" s="391"/>
      <c r="E143" s="391"/>
      <c r="F143" s="391"/>
      <c r="G143" s="392"/>
      <c r="H143" s="150">
        <f>ROUND($H$141+$H$142,2)</f>
        <v>6566.45</v>
      </c>
      <c r="L143" s="148"/>
    </row>
    <row r="144" spans="1:12" ht="15.75" customHeight="1">
      <c r="A144" s="472" t="s">
        <v>114</v>
      </c>
      <c r="B144" s="391"/>
      <c r="C144" s="391"/>
      <c r="D144" s="391"/>
      <c r="E144" s="391"/>
      <c r="F144" s="391"/>
      <c r="G144" s="392"/>
      <c r="H144" s="151">
        <f>$H$143/$H$38</f>
        <v>2.9286137982400975</v>
      </c>
      <c r="K144" s="148"/>
    </row>
    <row r="145" spans="1:12" ht="15.75" customHeight="1">
      <c r="A145" s="95"/>
      <c r="B145" s="95"/>
      <c r="C145" s="95"/>
      <c r="D145" s="95"/>
      <c r="E145" s="95"/>
      <c r="F145" s="95"/>
      <c r="G145" s="95"/>
      <c r="H145" s="95"/>
      <c r="J145" s="148"/>
      <c r="K145" s="148"/>
    </row>
    <row r="146" spans="1:12" ht="15.75" customHeight="1"/>
    <row r="147" spans="1:12" ht="16.5" customHeight="1">
      <c r="A147" s="473" t="s">
        <v>115</v>
      </c>
      <c r="B147" s="391"/>
      <c r="C147" s="391"/>
      <c r="D147" s="391"/>
      <c r="E147" s="391"/>
      <c r="F147" s="392"/>
      <c r="G147" s="24"/>
      <c r="H147" s="24"/>
      <c r="I147" s="24"/>
      <c r="J147" s="24"/>
      <c r="K147" s="24"/>
      <c r="L147" s="24"/>
    </row>
    <row r="148" spans="1:12" ht="15" customHeight="1">
      <c r="A148" s="469" t="s">
        <v>210</v>
      </c>
      <c r="B148" s="467"/>
      <c r="C148" s="467"/>
      <c r="D148" s="467"/>
      <c r="E148" s="467"/>
      <c r="F148" s="468"/>
      <c r="G148" s="25"/>
      <c r="H148" s="25"/>
    </row>
    <row r="149" spans="1:12" ht="15.75" customHeight="1">
      <c r="A149" s="36" t="s">
        <v>116</v>
      </c>
      <c r="B149" s="26" t="s">
        <v>117</v>
      </c>
      <c r="C149" s="461" t="s">
        <v>118</v>
      </c>
      <c r="D149" s="459"/>
      <c r="E149" s="461" t="s">
        <v>86</v>
      </c>
      <c r="F149" s="454"/>
      <c r="H149" s="27"/>
    </row>
    <row r="150" spans="1:12" ht="15.75" customHeight="1">
      <c r="A150" s="28">
        <v>2</v>
      </c>
      <c r="B150" s="29">
        <v>4.3</v>
      </c>
      <c r="C150" s="458">
        <f>2*22</f>
        <v>44</v>
      </c>
      <c r="D150" s="459"/>
      <c r="E150" s="460">
        <f>B150*C150</f>
        <v>189.2</v>
      </c>
      <c r="F150" s="454"/>
      <c r="G150" s="30"/>
      <c r="H150" s="31"/>
    </row>
    <row r="151" spans="1:12" ht="15.75" customHeight="1">
      <c r="A151" s="32"/>
      <c r="B151" s="33"/>
      <c r="C151" s="33"/>
      <c r="D151" s="33"/>
      <c r="E151" s="33"/>
      <c r="F151" s="34"/>
      <c r="G151" s="35"/>
      <c r="H151" s="35"/>
    </row>
    <row r="152" spans="1:12" ht="15.75" customHeight="1">
      <c r="A152" s="36" t="s">
        <v>15</v>
      </c>
      <c r="B152" s="26" t="s">
        <v>119</v>
      </c>
      <c r="C152" s="461" t="s">
        <v>86</v>
      </c>
      <c r="D152" s="453"/>
      <c r="E152" s="453"/>
      <c r="F152" s="454"/>
      <c r="G152" s="27"/>
      <c r="H152" s="35"/>
    </row>
    <row r="153" spans="1:12" ht="15.75" customHeight="1">
      <c r="A153" s="37">
        <v>6</v>
      </c>
      <c r="B153" s="38">
        <f>H38</f>
        <v>2242.17</v>
      </c>
      <c r="C153" s="452">
        <f>B153*A153/100</f>
        <v>134.53020000000001</v>
      </c>
      <c r="D153" s="453"/>
      <c r="E153" s="453"/>
      <c r="F153" s="454"/>
      <c r="G153" s="39"/>
      <c r="H153" s="35"/>
    </row>
    <row r="154" spans="1:12" ht="15.75" customHeight="1">
      <c r="A154" s="32"/>
      <c r="B154" s="33"/>
      <c r="C154" s="33"/>
      <c r="D154" s="33"/>
      <c r="E154" s="33"/>
      <c r="F154" s="34"/>
      <c r="G154" s="35"/>
      <c r="H154" s="35"/>
    </row>
    <row r="155" spans="1:12" ht="16.5" customHeight="1">
      <c r="A155" s="462" t="s">
        <v>120</v>
      </c>
      <c r="B155" s="463"/>
      <c r="C155" s="463"/>
      <c r="D155" s="463"/>
      <c r="E155" s="463"/>
      <c r="F155" s="464"/>
      <c r="G155" s="40"/>
      <c r="H155" s="35"/>
    </row>
    <row r="156" spans="1:12" ht="15.75" customHeight="1">
      <c r="A156" s="41">
        <f>E150</f>
        <v>189.2</v>
      </c>
      <c r="B156" s="42">
        <f>C153</f>
        <v>134.53020000000001</v>
      </c>
      <c r="C156" s="465">
        <f>A156-B156</f>
        <v>54.669799999999981</v>
      </c>
      <c r="D156" s="397"/>
      <c r="E156" s="397"/>
      <c r="F156" s="398"/>
      <c r="G156" s="31"/>
      <c r="H156" s="43"/>
    </row>
    <row r="157" spans="1:12" ht="15.75" customHeight="1"/>
    <row r="158" spans="1:12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5.75" customHeight="1">
      <c r="A159" s="466" t="s">
        <v>211</v>
      </c>
      <c r="B159" s="467"/>
      <c r="C159" s="467"/>
      <c r="D159" s="467"/>
      <c r="E159" s="467"/>
      <c r="F159" s="468"/>
      <c r="G159" s="40"/>
      <c r="H159" s="40"/>
    </row>
    <row r="160" spans="1:12" ht="15.75" customHeight="1">
      <c r="A160" s="36" t="s">
        <v>116</v>
      </c>
      <c r="B160" s="26" t="s">
        <v>117</v>
      </c>
      <c r="C160" s="461" t="s">
        <v>118</v>
      </c>
      <c r="D160" s="459"/>
      <c r="E160" s="461" t="s">
        <v>121</v>
      </c>
      <c r="F160" s="454"/>
    </row>
    <row r="161" spans="1:8" ht="15.75" customHeight="1">
      <c r="A161" s="37">
        <v>1</v>
      </c>
      <c r="B161" s="44">
        <f>25*22</f>
        <v>550</v>
      </c>
      <c r="C161" s="458">
        <v>1</v>
      </c>
      <c r="D161" s="459"/>
      <c r="E161" s="460">
        <f>A161*B161*C161</f>
        <v>550</v>
      </c>
      <c r="F161" s="454"/>
      <c r="G161" s="27"/>
      <c r="H161" s="39"/>
    </row>
    <row r="162" spans="1:8" ht="15.75" customHeight="1">
      <c r="A162" s="32"/>
      <c r="B162" s="33">
        <f>25*22</f>
        <v>550</v>
      </c>
      <c r="C162" s="33"/>
      <c r="D162" s="33"/>
      <c r="E162" s="33"/>
      <c r="F162" s="34"/>
      <c r="G162" s="35"/>
      <c r="H162" s="35"/>
    </row>
    <row r="163" spans="1:8" ht="15.75" customHeight="1">
      <c r="A163" s="36" t="s">
        <v>15</v>
      </c>
      <c r="B163" s="243" t="s">
        <v>317</v>
      </c>
      <c r="C163" s="461" t="s">
        <v>86</v>
      </c>
      <c r="D163" s="453"/>
      <c r="E163" s="453"/>
      <c r="F163" s="454"/>
      <c r="H163" s="35"/>
    </row>
    <row r="164" spans="1:8" ht="15.75" customHeight="1">
      <c r="A164" s="37">
        <v>11</v>
      </c>
      <c r="B164" s="38">
        <f>E161</f>
        <v>550</v>
      </c>
      <c r="C164" s="452">
        <f>B164*A164/100</f>
        <v>60.5</v>
      </c>
      <c r="D164" s="453"/>
      <c r="E164" s="453"/>
      <c r="F164" s="454"/>
      <c r="G164" s="39"/>
      <c r="H164" s="35"/>
    </row>
    <row r="165" spans="1:8" ht="15.75" customHeight="1">
      <c r="A165" s="32"/>
      <c r="B165" s="33"/>
      <c r="C165" s="33"/>
      <c r="D165" s="33"/>
      <c r="E165" s="33"/>
      <c r="F165" s="34"/>
      <c r="G165" s="35"/>
      <c r="H165" s="35"/>
    </row>
    <row r="166" spans="1:8" ht="15.75" customHeight="1">
      <c r="A166" s="455" t="s">
        <v>122</v>
      </c>
      <c r="B166" s="443"/>
      <c r="C166" s="443"/>
      <c r="D166" s="443"/>
      <c r="E166" s="443"/>
      <c r="F166" s="456"/>
      <c r="G166" s="40"/>
      <c r="H166" s="40"/>
    </row>
    <row r="167" spans="1:8" ht="16.5" customHeight="1">
      <c r="A167" s="41">
        <f>E161</f>
        <v>550</v>
      </c>
      <c r="B167" s="45">
        <f>C164</f>
        <v>60.5</v>
      </c>
      <c r="C167" s="457">
        <f>A167-B167</f>
        <v>489.5</v>
      </c>
      <c r="D167" s="397"/>
      <c r="E167" s="397"/>
      <c r="F167" s="398"/>
      <c r="G167" s="39"/>
      <c r="H167" s="43"/>
    </row>
    <row r="168" spans="1:8" ht="15.75" customHeight="1"/>
    <row r="169" spans="1:8" ht="15.75" customHeight="1"/>
    <row r="170" spans="1:8" ht="15.75" customHeight="1"/>
    <row r="171" spans="1:8" ht="15.75" customHeight="1"/>
    <row r="172" spans="1:8" ht="15.75" customHeight="1">
      <c r="D172" s="263" t="s">
        <v>400</v>
      </c>
    </row>
    <row r="173" spans="1:8" ht="15.75" customHeight="1"/>
    <row r="174" spans="1:8" ht="15.75" customHeight="1"/>
    <row r="175" spans="1:8" ht="15.75" customHeight="1">
      <c r="B175" s="265" t="s">
        <v>294</v>
      </c>
    </row>
    <row r="176" spans="1:8" ht="15.75" customHeight="1">
      <c r="B176" s="266" t="s">
        <v>295</v>
      </c>
    </row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26">
    <mergeCell ref="A133:H133"/>
    <mergeCell ref="B126:F126"/>
    <mergeCell ref="B127:F127"/>
    <mergeCell ref="B128:F128"/>
    <mergeCell ref="B129:F129"/>
    <mergeCell ref="B115:G115"/>
    <mergeCell ref="B116:G116"/>
    <mergeCell ref="A117:H117"/>
    <mergeCell ref="A119:H119"/>
    <mergeCell ref="B120:F120"/>
    <mergeCell ref="B121:F121"/>
    <mergeCell ref="B122:F122"/>
    <mergeCell ref="B123:H123"/>
    <mergeCell ref="B125:F125"/>
    <mergeCell ref="B131:F131"/>
    <mergeCell ref="A132:B132"/>
    <mergeCell ref="A148:F148"/>
    <mergeCell ref="C149:D149"/>
    <mergeCell ref="E149:F149"/>
    <mergeCell ref="A135:G135"/>
    <mergeCell ref="B136:G136"/>
    <mergeCell ref="B137:G137"/>
    <mergeCell ref="B138:G138"/>
    <mergeCell ref="B139:G139"/>
    <mergeCell ref="A141:G141"/>
    <mergeCell ref="B142:G142"/>
    <mergeCell ref="B143:G143"/>
    <mergeCell ref="A144:G144"/>
    <mergeCell ref="A147:F147"/>
    <mergeCell ref="C164:F164"/>
    <mergeCell ref="A166:F166"/>
    <mergeCell ref="C167:F167"/>
    <mergeCell ref="C150:D150"/>
    <mergeCell ref="E150:F150"/>
    <mergeCell ref="C152:F152"/>
    <mergeCell ref="C153:F153"/>
    <mergeCell ref="A155:F155"/>
    <mergeCell ref="C156:F156"/>
    <mergeCell ref="A159:F159"/>
    <mergeCell ref="C160:D160"/>
    <mergeCell ref="E160:F160"/>
    <mergeCell ref="C161:D161"/>
    <mergeCell ref="E161:F161"/>
    <mergeCell ref="C163:F163"/>
    <mergeCell ref="B96:F96"/>
    <mergeCell ref="B80:F80"/>
    <mergeCell ref="A87:G87"/>
    <mergeCell ref="A88:H88"/>
    <mergeCell ref="A89:H89"/>
    <mergeCell ref="A91:H91"/>
    <mergeCell ref="A92:H92"/>
    <mergeCell ref="B93:F93"/>
    <mergeCell ref="B94:F94"/>
    <mergeCell ref="B95:F95"/>
    <mergeCell ref="B97:F97"/>
    <mergeCell ref="B98:F98"/>
    <mergeCell ref="A100:F100"/>
    <mergeCell ref="A102:F102"/>
    <mergeCell ref="A103:G103"/>
    <mergeCell ref="A105:H105"/>
    <mergeCell ref="B106:G106"/>
    <mergeCell ref="B107:G107"/>
    <mergeCell ref="B108:G108"/>
    <mergeCell ref="A134:H134"/>
    <mergeCell ref="B140:G140"/>
    <mergeCell ref="B54:F54"/>
    <mergeCell ref="B55:F55"/>
    <mergeCell ref="B56:F56"/>
    <mergeCell ref="A60:H60"/>
    <mergeCell ref="B61:G61"/>
    <mergeCell ref="B62:G62"/>
    <mergeCell ref="B64:G64"/>
    <mergeCell ref="B65:G65"/>
    <mergeCell ref="B66:G66"/>
    <mergeCell ref="B69:G69"/>
    <mergeCell ref="B70:G70"/>
    <mergeCell ref="A72:H72"/>
    <mergeCell ref="B73:G73"/>
    <mergeCell ref="B74:G74"/>
    <mergeCell ref="B75:G75"/>
    <mergeCell ref="B76:G76"/>
    <mergeCell ref="B77:G77"/>
    <mergeCell ref="A79:H79"/>
    <mergeCell ref="A110:H110"/>
    <mergeCell ref="B111:G111"/>
    <mergeCell ref="B112:G112"/>
    <mergeCell ref="B114:G114"/>
    <mergeCell ref="B113:G113"/>
    <mergeCell ref="B11:G11"/>
    <mergeCell ref="A15:H15"/>
    <mergeCell ref="A16:F16"/>
    <mergeCell ref="A23:H23"/>
    <mergeCell ref="G16:H16"/>
    <mergeCell ref="A24:H24"/>
    <mergeCell ref="A25:H25"/>
    <mergeCell ref="G26:H26"/>
    <mergeCell ref="G27:H27"/>
    <mergeCell ref="G28:H28"/>
    <mergeCell ref="G29:H29"/>
    <mergeCell ref="G30:H30"/>
    <mergeCell ref="A32:H32"/>
    <mergeCell ref="B33:G33"/>
    <mergeCell ref="B34:G34"/>
    <mergeCell ref="B37:G37"/>
    <mergeCell ref="A17:F17"/>
    <mergeCell ref="A18:F21"/>
    <mergeCell ref="B52:F52"/>
    <mergeCell ref="B53:F53"/>
    <mergeCell ref="B38:G38"/>
    <mergeCell ref="A40:H40"/>
    <mergeCell ref="A41:H41"/>
    <mergeCell ref="B43:F43"/>
    <mergeCell ref="B44:F44"/>
    <mergeCell ref="B45:G45"/>
    <mergeCell ref="A47:H47"/>
    <mergeCell ref="B49:F49"/>
    <mergeCell ref="B50:F50"/>
    <mergeCell ref="A1:H1"/>
    <mergeCell ref="A2:H2"/>
    <mergeCell ref="A3:H3"/>
    <mergeCell ref="G4:H4"/>
    <mergeCell ref="G5:H5"/>
    <mergeCell ref="A7:G7"/>
    <mergeCell ref="B8:G8"/>
    <mergeCell ref="B9:G9"/>
    <mergeCell ref="B10:G10"/>
  </mergeCells>
  <printOptions horizontalCentered="1"/>
  <pageMargins left="0.7" right="0.7" top="0.75" bottom="0.75" header="0" footer="0"/>
  <pageSetup paperSize="9" scale="39" fitToHeight="0" orientation="portrait" r:id="rId1"/>
  <rowBreaks count="1" manualBreakCount="1">
    <brk id="115" max="10" man="1"/>
  </rowBreaks>
  <ignoredErrors>
    <ignoredError sqref="H10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976"/>
  <sheetViews>
    <sheetView showGridLines="0" topLeftCell="A10" zoomScale="55" zoomScaleNormal="55" workbookViewId="0">
      <selection activeCell="J24" sqref="J24:K24"/>
    </sheetView>
  </sheetViews>
  <sheetFormatPr defaultColWidth="14.42578125" defaultRowHeight="15" customHeight="1"/>
  <cols>
    <col min="1" max="1" width="9.28515625" style="9" customWidth="1"/>
    <col min="2" max="2" width="96.7109375" style="9" customWidth="1"/>
    <col min="3" max="3" width="12.42578125" style="9" customWidth="1"/>
    <col min="4" max="4" width="13" style="9" customWidth="1"/>
    <col min="5" max="5" width="17.42578125" style="9" customWidth="1"/>
    <col min="6" max="6" width="22.5703125" style="9" customWidth="1"/>
    <col min="7" max="7" width="34.5703125" style="9" customWidth="1"/>
    <col min="8" max="8" width="19.140625" style="9" customWidth="1"/>
    <col min="9" max="9" width="15.7109375" style="9" bestFit="1" customWidth="1"/>
    <col min="10" max="10" width="18.7109375" style="9" customWidth="1"/>
    <col min="11" max="11" width="19.28515625" style="9" customWidth="1"/>
    <col min="12" max="26" width="8.7109375" style="9" customWidth="1"/>
    <col min="27" max="16384" width="14.42578125" style="9"/>
  </cols>
  <sheetData>
    <row r="1" spans="1:11" ht="15" customHeight="1">
      <c r="A1" s="484" t="s">
        <v>396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</row>
    <row r="2" spans="1:11" customFormat="1" ht="15.75">
      <c r="B2" s="484" t="s">
        <v>279</v>
      </c>
      <c r="C2" s="484"/>
      <c r="D2" s="484"/>
      <c r="E2" s="484"/>
      <c r="F2" s="484"/>
      <c r="G2" s="484"/>
      <c r="H2" s="484"/>
      <c r="I2" s="484"/>
      <c r="J2" s="484"/>
      <c r="K2" s="484"/>
    </row>
    <row r="3" spans="1:11" ht="18.75" customHeight="1">
      <c r="B3" s="201"/>
      <c r="C3" s="201"/>
      <c r="D3" s="201"/>
      <c r="E3" s="201"/>
      <c r="F3" s="201"/>
      <c r="G3" s="201"/>
    </row>
    <row r="4" spans="1:11" ht="15.75">
      <c r="A4" s="484" t="s">
        <v>238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</row>
    <row r="5" spans="1:11" s="240" customFormat="1" ht="47.25">
      <c r="A5" s="495" t="s">
        <v>135</v>
      </c>
      <c r="B5" s="495" t="s">
        <v>134</v>
      </c>
      <c r="C5" s="499" t="s">
        <v>305</v>
      </c>
      <c r="D5" s="495" t="s">
        <v>133</v>
      </c>
      <c r="E5" s="495" t="s">
        <v>293</v>
      </c>
      <c r="F5" s="237" t="s">
        <v>311</v>
      </c>
      <c r="G5" s="237" t="s">
        <v>304</v>
      </c>
      <c r="H5" s="495" t="s">
        <v>138</v>
      </c>
      <c r="I5" s="495" t="s">
        <v>137</v>
      </c>
      <c r="J5" s="495" t="s">
        <v>192</v>
      </c>
      <c r="K5" s="495" t="s">
        <v>191</v>
      </c>
    </row>
    <row r="6" spans="1:11" s="240" customFormat="1" ht="15.75">
      <c r="A6" s="499"/>
      <c r="B6" s="499"/>
      <c r="C6" s="500"/>
      <c r="D6" s="499"/>
      <c r="E6" s="495"/>
      <c r="F6" s="239" t="s">
        <v>308</v>
      </c>
      <c r="G6" s="237" t="s">
        <v>307</v>
      </c>
      <c r="H6" s="495"/>
      <c r="I6" s="495"/>
      <c r="J6" s="495"/>
      <c r="K6" s="495"/>
    </row>
    <row r="7" spans="1:11">
      <c r="A7" s="202">
        <v>1</v>
      </c>
      <c r="B7" s="203" t="s">
        <v>184</v>
      </c>
      <c r="C7" s="204">
        <v>441197</v>
      </c>
      <c r="D7" s="204" t="s">
        <v>140</v>
      </c>
      <c r="E7" s="204">
        <v>1</v>
      </c>
      <c r="F7" s="205">
        <v>325</v>
      </c>
      <c r="G7" s="206">
        <v>789.35</v>
      </c>
      <c r="H7" s="207">
        <f>STDEVA(F7:G7)/AVERAGE(F7:G7)</f>
        <v>0.58930324196881312</v>
      </c>
      <c r="I7" s="208">
        <f>ROUND(AVERAGE(F7:G7),2)</f>
        <v>557.17999999999995</v>
      </c>
      <c r="J7" s="209">
        <v>60</v>
      </c>
      <c r="K7" s="210">
        <f>(E7*I7)/J7</f>
        <v>9.2863333333333333</v>
      </c>
    </row>
    <row r="8" spans="1:11">
      <c r="A8" s="202">
        <v>2</v>
      </c>
      <c r="B8" s="203" t="s">
        <v>185</v>
      </c>
      <c r="C8" s="204">
        <v>312908</v>
      </c>
      <c r="D8" s="204" t="s">
        <v>140</v>
      </c>
      <c r="E8" s="204">
        <v>2</v>
      </c>
      <c r="F8" s="205">
        <v>42.12</v>
      </c>
      <c r="G8" s="206">
        <v>144.26</v>
      </c>
      <c r="H8" s="268">
        <f t="shared" ref="H8:H20" si="0">STDEVA(F8:G8)/AVERAGE(F8:G8)</f>
        <v>0.77501756229631869</v>
      </c>
      <c r="I8" s="208">
        <f t="shared" ref="I8:I20" si="1">ROUND(AVERAGE(F8:G8),2)</f>
        <v>93.19</v>
      </c>
      <c r="J8" s="209">
        <v>12</v>
      </c>
      <c r="K8" s="210">
        <f t="shared" ref="K8:K20" si="2">(E8*I8)/J8</f>
        <v>15.531666666666666</v>
      </c>
    </row>
    <row r="9" spans="1:11">
      <c r="A9" s="202">
        <v>3</v>
      </c>
      <c r="B9" s="203" t="s">
        <v>182</v>
      </c>
      <c r="C9" s="204">
        <v>485736</v>
      </c>
      <c r="D9" s="204" t="s">
        <v>140</v>
      </c>
      <c r="E9" s="204">
        <v>1</v>
      </c>
      <c r="F9" s="205">
        <v>2470</v>
      </c>
      <c r="G9" s="206">
        <v>2809.2</v>
      </c>
      <c r="H9" s="268">
        <f t="shared" si="0"/>
        <v>9.086627526082619E-2</v>
      </c>
      <c r="I9" s="208">
        <f t="shared" si="1"/>
        <v>2639.6</v>
      </c>
      <c r="J9" s="209">
        <v>60</v>
      </c>
      <c r="K9" s="210">
        <f t="shared" si="2"/>
        <v>43.993333333333332</v>
      </c>
    </row>
    <row r="10" spans="1:11">
      <c r="A10" s="202">
        <v>4</v>
      </c>
      <c r="B10" s="211" t="s">
        <v>183</v>
      </c>
      <c r="C10" s="212">
        <v>611128</v>
      </c>
      <c r="D10" s="204" t="s">
        <v>140</v>
      </c>
      <c r="E10" s="204">
        <v>1</v>
      </c>
      <c r="F10" s="205">
        <v>687.33</v>
      </c>
      <c r="G10" s="206">
        <v>1962.92</v>
      </c>
      <c r="H10" s="268">
        <f t="shared" si="0"/>
        <v>0.68067415452410029</v>
      </c>
      <c r="I10" s="208">
        <f t="shared" si="1"/>
        <v>1325.13</v>
      </c>
      <c r="J10" s="209">
        <v>60</v>
      </c>
      <c r="K10" s="210">
        <f t="shared" si="2"/>
        <v>22.085500000000003</v>
      </c>
    </row>
    <row r="11" spans="1:11">
      <c r="A11" s="202">
        <v>5</v>
      </c>
      <c r="B11" s="203" t="s">
        <v>181</v>
      </c>
      <c r="C11" s="204">
        <v>453105</v>
      </c>
      <c r="D11" s="204" t="s">
        <v>140</v>
      </c>
      <c r="E11" s="204">
        <v>6</v>
      </c>
      <c r="F11" s="205">
        <v>35</v>
      </c>
      <c r="G11" s="206">
        <v>55.89</v>
      </c>
      <c r="H11" s="268">
        <f t="shared" si="0"/>
        <v>0.32504039298023973</v>
      </c>
      <c r="I11" s="208">
        <f t="shared" si="1"/>
        <v>45.45</v>
      </c>
      <c r="J11" s="209">
        <v>60</v>
      </c>
      <c r="K11" s="210">
        <f t="shared" si="2"/>
        <v>4.5450000000000008</v>
      </c>
    </row>
    <row r="12" spans="1:11">
      <c r="A12" s="202">
        <v>6</v>
      </c>
      <c r="B12" s="213" t="s">
        <v>169</v>
      </c>
      <c r="C12" s="214">
        <v>622092</v>
      </c>
      <c r="D12" s="204" t="s">
        <v>140</v>
      </c>
      <c r="E12" s="214">
        <v>12</v>
      </c>
      <c r="F12" s="206">
        <v>9.9499999999999993</v>
      </c>
      <c r="G12" s="206">
        <v>13.3</v>
      </c>
      <c r="H12" s="268">
        <f t="shared" si="0"/>
        <v>0.20376840576128438</v>
      </c>
      <c r="I12" s="208">
        <f t="shared" si="1"/>
        <v>11.63</v>
      </c>
      <c r="J12" s="209">
        <v>4</v>
      </c>
      <c r="K12" s="210">
        <f t="shared" si="2"/>
        <v>34.89</v>
      </c>
    </row>
    <row r="13" spans="1:11">
      <c r="A13" s="202">
        <v>7</v>
      </c>
      <c r="B13" s="213" t="s">
        <v>147</v>
      </c>
      <c r="C13" s="214">
        <v>448502</v>
      </c>
      <c r="D13" s="204" t="s">
        <v>140</v>
      </c>
      <c r="E13" s="214">
        <v>12</v>
      </c>
      <c r="F13" s="206">
        <v>2.62</v>
      </c>
      <c r="G13" s="206">
        <v>7.95</v>
      </c>
      <c r="H13" s="268">
        <f t="shared" si="0"/>
        <v>0.71312755794215676</v>
      </c>
      <c r="I13" s="208">
        <f t="shared" si="1"/>
        <v>5.29</v>
      </c>
      <c r="J13" s="209">
        <v>4</v>
      </c>
      <c r="K13" s="210">
        <f t="shared" si="2"/>
        <v>15.870000000000001</v>
      </c>
    </row>
    <row r="14" spans="1:11">
      <c r="A14" s="202">
        <v>8</v>
      </c>
      <c r="B14" s="213" t="s">
        <v>174</v>
      </c>
      <c r="C14" s="214">
        <v>333358</v>
      </c>
      <c r="D14" s="204" t="s">
        <v>140</v>
      </c>
      <c r="E14" s="214">
        <v>12</v>
      </c>
      <c r="F14" s="206">
        <v>4.9400000000000004</v>
      </c>
      <c r="G14" s="206">
        <v>18.36</v>
      </c>
      <c r="H14" s="268">
        <f t="shared" si="0"/>
        <v>0.81453845523806556</v>
      </c>
      <c r="I14" s="208">
        <f t="shared" si="1"/>
        <v>11.65</v>
      </c>
      <c r="J14" s="209">
        <v>4</v>
      </c>
      <c r="K14" s="210">
        <f t="shared" si="2"/>
        <v>34.950000000000003</v>
      </c>
    </row>
    <row r="15" spans="1:11">
      <c r="A15" s="202">
        <v>9</v>
      </c>
      <c r="B15" s="213" t="s">
        <v>172</v>
      </c>
      <c r="C15" s="214">
        <v>419358</v>
      </c>
      <c r="D15" s="204" t="s">
        <v>140</v>
      </c>
      <c r="E15" s="214">
        <v>12</v>
      </c>
      <c r="F15" s="206">
        <v>7.46</v>
      </c>
      <c r="G15" s="206">
        <v>27.65</v>
      </c>
      <c r="H15" s="268">
        <f t="shared" si="0"/>
        <v>0.81324328750534858</v>
      </c>
      <c r="I15" s="208">
        <f t="shared" si="1"/>
        <v>17.559999999999999</v>
      </c>
      <c r="J15" s="209">
        <v>12</v>
      </c>
      <c r="K15" s="210">
        <f t="shared" si="2"/>
        <v>17.559999999999999</v>
      </c>
    </row>
    <row r="16" spans="1:11">
      <c r="A16" s="202">
        <v>10</v>
      </c>
      <c r="B16" s="215" t="s">
        <v>152</v>
      </c>
      <c r="C16" s="216">
        <v>601242</v>
      </c>
      <c r="D16" s="204" t="s">
        <v>140</v>
      </c>
      <c r="E16" s="216">
        <v>36</v>
      </c>
      <c r="F16" s="206">
        <v>6.48</v>
      </c>
      <c r="G16" s="206">
        <v>13.13</v>
      </c>
      <c r="H16" s="268">
        <f t="shared" si="0"/>
        <v>0.47957777612346203</v>
      </c>
      <c r="I16" s="208">
        <f t="shared" si="1"/>
        <v>9.81</v>
      </c>
      <c r="J16" s="209">
        <v>6</v>
      </c>
      <c r="K16" s="210">
        <f t="shared" si="2"/>
        <v>58.860000000000007</v>
      </c>
    </row>
    <row r="17" spans="1:11">
      <c r="A17" s="202">
        <v>11</v>
      </c>
      <c r="B17" s="215" t="s">
        <v>382</v>
      </c>
      <c r="C17" s="216">
        <v>601243</v>
      </c>
      <c r="D17" s="204" t="s">
        <v>384</v>
      </c>
      <c r="E17" s="216">
        <v>36</v>
      </c>
      <c r="F17" s="261">
        <v>8.85</v>
      </c>
      <c r="G17" s="206">
        <v>18.600000000000001</v>
      </c>
      <c r="H17" s="268">
        <f t="shared" si="0"/>
        <v>0.50231629264618094</v>
      </c>
      <c r="I17" s="208">
        <f t="shared" si="1"/>
        <v>13.73</v>
      </c>
      <c r="J17" s="282">
        <v>6</v>
      </c>
      <c r="K17" s="210">
        <f t="shared" si="2"/>
        <v>82.38000000000001</v>
      </c>
    </row>
    <row r="18" spans="1:11">
      <c r="A18" s="202">
        <v>12</v>
      </c>
      <c r="B18" s="213" t="s">
        <v>155</v>
      </c>
      <c r="C18" s="214">
        <v>421697</v>
      </c>
      <c r="D18" s="204" t="s">
        <v>140</v>
      </c>
      <c r="E18" s="214">
        <v>36</v>
      </c>
      <c r="F18" s="206">
        <v>12.26</v>
      </c>
      <c r="G18" s="206">
        <v>16.46</v>
      </c>
      <c r="H18" s="268">
        <f t="shared" si="0"/>
        <v>0.20681396107127428</v>
      </c>
      <c r="I18" s="208">
        <f t="shared" si="1"/>
        <v>14.36</v>
      </c>
      <c r="J18" s="282">
        <v>4</v>
      </c>
      <c r="K18" s="210">
        <f t="shared" si="2"/>
        <v>129.24</v>
      </c>
    </row>
    <row r="19" spans="1:11">
      <c r="A19" s="202">
        <v>13</v>
      </c>
      <c r="B19" s="217" t="s">
        <v>156</v>
      </c>
      <c r="C19" s="225">
        <v>254496</v>
      </c>
      <c r="D19" s="219" t="s">
        <v>384</v>
      </c>
      <c r="E19" s="225">
        <v>36</v>
      </c>
      <c r="F19" s="220">
        <v>14.88</v>
      </c>
      <c r="G19" s="220">
        <v>16.16</v>
      </c>
      <c r="H19" s="268">
        <f t="shared" si="0"/>
        <v>5.8318085046313174E-2</v>
      </c>
      <c r="I19" s="208">
        <f t="shared" si="1"/>
        <v>15.52</v>
      </c>
      <c r="J19" s="282">
        <v>4</v>
      </c>
      <c r="K19" s="210">
        <f t="shared" si="2"/>
        <v>139.68</v>
      </c>
    </row>
    <row r="20" spans="1:11">
      <c r="A20" s="202">
        <v>14</v>
      </c>
      <c r="B20" s="217" t="s">
        <v>383</v>
      </c>
      <c r="C20" s="218">
        <v>245629</v>
      </c>
      <c r="D20" s="219" t="s">
        <v>140</v>
      </c>
      <c r="E20" s="218">
        <v>2</v>
      </c>
      <c r="F20" s="220">
        <v>18</v>
      </c>
      <c r="G20" s="220">
        <v>20.14</v>
      </c>
      <c r="H20" s="268">
        <f t="shared" si="0"/>
        <v>7.9350210369124916E-2</v>
      </c>
      <c r="I20" s="208">
        <f t="shared" si="1"/>
        <v>19.07</v>
      </c>
      <c r="J20" s="282">
        <v>4</v>
      </c>
      <c r="K20" s="210">
        <f t="shared" si="2"/>
        <v>9.5350000000000001</v>
      </c>
    </row>
    <row r="21" spans="1:11" ht="15.75">
      <c r="A21" s="490" t="s">
        <v>186</v>
      </c>
      <c r="B21" s="490"/>
      <c r="C21" s="490"/>
      <c r="D21" s="490"/>
      <c r="E21" s="490"/>
      <c r="F21" s="490"/>
      <c r="G21" s="490"/>
      <c r="H21" s="490"/>
      <c r="I21" s="490"/>
      <c r="J21" s="488">
        <f>SUM(K7:K20)</f>
        <v>618.40683333333334</v>
      </c>
      <c r="K21" s="489"/>
    </row>
    <row r="22" spans="1:11" ht="15.75">
      <c r="A22" s="490" t="s">
        <v>178</v>
      </c>
      <c r="B22" s="490"/>
      <c r="C22" s="490"/>
      <c r="D22" s="490"/>
      <c r="E22" s="490"/>
      <c r="F22" s="490"/>
      <c r="G22" s="490"/>
      <c r="H22" s="490"/>
      <c r="I22" s="490"/>
      <c r="J22" s="490"/>
      <c r="K22" s="221">
        <v>6</v>
      </c>
    </row>
    <row r="23" spans="1:11" ht="15.75">
      <c r="A23" s="491" t="s">
        <v>180</v>
      </c>
      <c r="B23" s="492"/>
      <c r="C23" s="492"/>
      <c r="D23" s="492"/>
      <c r="E23" s="492"/>
      <c r="F23" s="492"/>
      <c r="G23" s="492"/>
      <c r="H23" s="492"/>
      <c r="I23" s="492"/>
      <c r="J23" s="493"/>
      <c r="K23" s="222">
        <f>J21/K22</f>
        <v>103.06780555555555</v>
      </c>
    </row>
    <row r="24" spans="1:11" ht="15.75">
      <c r="A24" s="490" t="s">
        <v>296</v>
      </c>
      <c r="B24" s="490"/>
      <c r="C24" s="490"/>
      <c r="D24" s="490"/>
      <c r="E24" s="490"/>
      <c r="F24" s="490"/>
      <c r="G24" s="490"/>
      <c r="H24" s="490"/>
      <c r="I24" s="490"/>
      <c r="J24" s="489">
        <f>J21*12</f>
        <v>7420.8819999999996</v>
      </c>
      <c r="K24" s="489"/>
    </row>
    <row r="25" spans="1:11" ht="40.5" customHeight="1">
      <c r="A25" s="557" t="s">
        <v>408</v>
      </c>
      <c r="B25" s="557"/>
      <c r="C25" s="557"/>
      <c r="D25" s="557"/>
      <c r="E25" s="557"/>
      <c r="F25" s="557"/>
      <c r="G25" s="557"/>
      <c r="H25" s="557"/>
      <c r="I25" s="557"/>
      <c r="J25" s="557"/>
      <c r="K25" s="557"/>
    </row>
    <row r="26" spans="1:11" ht="18.75" customHeight="1"/>
    <row r="27" spans="1:11" ht="15.75">
      <c r="A27" s="496" t="s">
        <v>239</v>
      </c>
      <c r="B27" s="497"/>
      <c r="C27" s="497"/>
      <c r="D27" s="497"/>
      <c r="E27" s="497"/>
      <c r="F27" s="497"/>
      <c r="G27" s="497"/>
      <c r="H27" s="497"/>
      <c r="I27" s="497"/>
      <c r="J27" s="498"/>
    </row>
    <row r="28" spans="1:11" ht="47.25">
      <c r="A28" s="495" t="s">
        <v>135</v>
      </c>
      <c r="B28" s="495" t="s">
        <v>134</v>
      </c>
      <c r="C28" s="499" t="s">
        <v>306</v>
      </c>
      <c r="D28" s="495" t="s">
        <v>133</v>
      </c>
      <c r="E28" s="495" t="s">
        <v>136</v>
      </c>
      <c r="F28" s="237" t="s">
        <v>311</v>
      </c>
      <c r="G28" s="237" t="s">
        <v>304</v>
      </c>
      <c r="H28" s="495" t="s">
        <v>138</v>
      </c>
      <c r="I28" s="495" t="s">
        <v>137</v>
      </c>
      <c r="J28" s="495" t="s">
        <v>139</v>
      </c>
    </row>
    <row r="29" spans="1:11" ht="15.75">
      <c r="A29" s="495"/>
      <c r="B29" s="495"/>
      <c r="C29" s="500"/>
      <c r="D29" s="495"/>
      <c r="E29" s="495"/>
      <c r="F29" s="239" t="s">
        <v>308</v>
      </c>
      <c r="G29" s="237" t="s">
        <v>307</v>
      </c>
      <c r="H29" s="495"/>
      <c r="I29" s="495"/>
      <c r="J29" s="495"/>
    </row>
    <row r="30" spans="1:11" ht="30">
      <c r="A30" s="202">
        <v>15</v>
      </c>
      <c r="B30" s="215" t="s">
        <v>161</v>
      </c>
      <c r="C30" s="216">
        <v>299605</v>
      </c>
      <c r="D30" s="216" t="s">
        <v>162</v>
      </c>
      <c r="E30" s="216">
        <v>10</v>
      </c>
      <c r="F30" s="206">
        <v>5.8</v>
      </c>
      <c r="G30" s="206">
        <v>11.72</v>
      </c>
      <c r="H30" s="207">
        <f>STDEVA(F30:G30)/AVERAGE(F30:G30)</f>
        <v>0.47786211696625136</v>
      </c>
      <c r="I30" s="208">
        <f>ROUND(AVERAGE(F30:G30),2)</f>
        <v>8.76</v>
      </c>
      <c r="J30" s="210">
        <f>I30*E30</f>
        <v>87.6</v>
      </c>
    </row>
    <row r="31" spans="1:11" ht="45">
      <c r="A31" s="202">
        <v>16</v>
      </c>
      <c r="B31" s="215" t="s">
        <v>164</v>
      </c>
      <c r="C31" s="216">
        <v>395734</v>
      </c>
      <c r="D31" s="216" t="s">
        <v>157</v>
      </c>
      <c r="E31" s="216">
        <v>6</v>
      </c>
      <c r="F31" s="206">
        <v>39.799999999999997</v>
      </c>
      <c r="G31" s="206">
        <v>36.57</v>
      </c>
      <c r="H31" s="268">
        <f t="shared" ref="H31:H55" si="3">STDEVA(F31:G31)/AVERAGE(F31:G31)</f>
        <v>5.9812882106391151E-2</v>
      </c>
      <c r="I31" s="208">
        <f t="shared" ref="I31:I55" si="4">ROUND(AVERAGE(F31:G31),2)</f>
        <v>38.19</v>
      </c>
      <c r="J31" s="210">
        <f t="shared" ref="J31:J54" si="5">I31*E31</f>
        <v>229.14</v>
      </c>
    </row>
    <row r="32" spans="1:11" ht="60">
      <c r="A32" s="202">
        <v>17</v>
      </c>
      <c r="B32" s="215" t="s">
        <v>163</v>
      </c>
      <c r="C32" s="216">
        <v>481012</v>
      </c>
      <c r="D32" s="216" t="s">
        <v>140</v>
      </c>
      <c r="E32" s="216">
        <v>20</v>
      </c>
      <c r="F32" s="206">
        <v>5.92</v>
      </c>
      <c r="G32" s="206">
        <v>10.15</v>
      </c>
      <c r="H32" s="268">
        <f t="shared" si="3"/>
        <v>0.37225409886983146</v>
      </c>
      <c r="I32" s="208">
        <f t="shared" si="4"/>
        <v>8.0399999999999991</v>
      </c>
      <c r="J32" s="210">
        <f t="shared" si="5"/>
        <v>160.79999999999998</v>
      </c>
    </row>
    <row r="33" spans="1:10">
      <c r="A33" s="202">
        <v>18</v>
      </c>
      <c r="B33" s="215" t="s">
        <v>171</v>
      </c>
      <c r="C33" s="216">
        <v>621513</v>
      </c>
      <c r="D33" s="216" t="s">
        <v>170</v>
      </c>
      <c r="E33" s="216">
        <v>9</v>
      </c>
      <c r="F33" s="206">
        <v>20</v>
      </c>
      <c r="G33" s="206">
        <v>19.600000000000001</v>
      </c>
      <c r="H33" s="268">
        <f t="shared" si="3"/>
        <v>1.428498547851606E-2</v>
      </c>
      <c r="I33" s="208">
        <f t="shared" si="4"/>
        <v>19.8</v>
      </c>
      <c r="J33" s="210">
        <f t="shared" si="5"/>
        <v>178.20000000000002</v>
      </c>
    </row>
    <row r="34" spans="1:10">
      <c r="A34" s="202">
        <v>19</v>
      </c>
      <c r="B34" s="215" t="s">
        <v>145</v>
      </c>
      <c r="C34" s="216">
        <v>327150</v>
      </c>
      <c r="D34" s="216" t="s">
        <v>140</v>
      </c>
      <c r="E34" s="216">
        <v>36</v>
      </c>
      <c r="F34" s="206">
        <v>8.85</v>
      </c>
      <c r="G34" s="206">
        <v>21.04</v>
      </c>
      <c r="H34" s="268">
        <f t="shared" si="3"/>
        <v>0.5767568860932758</v>
      </c>
      <c r="I34" s="208">
        <f t="shared" si="4"/>
        <v>14.95</v>
      </c>
      <c r="J34" s="210">
        <f t="shared" si="5"/>
        <v>538.19999999999993</v>
      </c>
    </row>
    <row r="35" spans="1:10" ht="30">
      <c r="A35" s="202">
        <v>20</v>
      </c>
      <c r="B35" s="213" t="s">
        <v>146</v>
      </c>
      <c r="C35" s="214">
        <v>443860</v>
      </c>
      <c r="D35" s="214" t="s">
        <v>157</v>
      </c>
      <c r="E35" s="214">
        <v>5</v>
      </c>
      <c r="F35" s="206">
        <v>99</v>
      </c>
      <c r="G35" s="206">
        <v>83.8</v>
      </c>
      <c r="H35" s="268">
        <f t="shared" si="3"/>
        <v>0.11759325026297071</v>
      </c>
      <c r="I35" s="208">
        <f t="shared" si="4"/>
        <v>91.4</v>
      </c>
      <c r="J35" s="210">
        <f t="shared" si="5"/>
        <v>457</v>
      </c>
    </row>
    <row r="36" spans="1:10" ht="30">
      <c r="A36" s="202">
        <v>21</v>
      </c>
      <c r="B36" s="215" t="s">
        <v>141</v>
      </c>
      <c r="C36" s="216">
        <v>386806</v>
      </c>
      <c r="D36" s="216" t="s">
        <v>142</v>
      </c>
      <c r="E36" s="216">
        <v>8</v>
      </c>
      <c r="F36" s="206">
        <v>1.36</v>
      </c>
      <c r="G36" s="206">
        <v>2.56</v>
      </c>
      <c r="H36" s="268">
        <f t="shared" si="3"/>
        <v>0.4329225190938048</v>
      </c>
      <c r="I36" s="208">
        <f t="shared" si="4"/>
        <v>1.96</v>
      </c>
      <c r="J36" s="210">
        <f t="shared" si="5"/>
        <v>15.68</v>
      </c>
    </row>
    <row r="37" spans="1:10">
      <c r="A37" s="202">
        <v>22</v>
      </c>
      <c r="B37" s="223" t="s">
        <v>165</v>
      </c>
      <c r="C37" s="224">
        <v>454957</v>
      </c>
      <c r="D37" s="216" t="s">
        <v>140</v>
      </c>
      <c r="E37" s="216">
        <v>20</v>
      </c>
      <c r="F37" s="206">
        <v>0.63</v>
      </c>
      <c r="G37" s="206">
        <v>1.34</v>
      </c>
      <c r="H37" s="268">
        <f t="shared" si="3"/>
        <v>0.50969118237812028</v>
      </c>
      <c r="I37" s="208">
        <f t="shared" si="4"/>
        <v>0.99</v>
      </c>
      <c r="J37" s="210">
        <f t="shared" si="5"/>
        <v>19.8</v>
      </c>
    </row>
    <row r="38" spans="1:10">
      <c r="A38" s="202">
        <v>23</v>
      </c>
      <c r="B38" s="213" t="s">
        <v>166</v>
      </c>
      <c r="C38" s="214">
        <v>319163</v>
      </c>
      <c r="D38" s="214" t="s">
        <v>132</v>
      </c>
      <c r="E38" s="214">
        <v>16</v>
      </c>
      <c r="F38" s="206">
        <v>1.55</v>
      </c>
      <c r="G38" s="206">
        <v>2.41</v>
      </c>
      <c r="H38" s="268">
        <f t="shared" si="3"/>
        <v>0.307127187788097</v>
      </c>
      <c r="I38" s="208">
        <f t="shared" si="4"/>
        <v>1.98</v>
      </c>
      <c r="J38" s="210">
        <f t="shared" si="5"/>
        <v>31.68</v>
      </c>
    </row>
    <row r="39" spans="1:10">
      <c r="A39" s="202">
        <v>24</v>
      </c>
      <c r="B39" s="215" t="s">
        <v>148</v>
      </c>
      <c r="C39" s="216">
        <v>470966</v>
      </c>
      <c r="D39" s="216" t="s">
        <v>158</v>
      </c>
      <c r="E39" s="216">
        <v>16</v>
      </c>
      <c r="F39" s="206">
        <v>2.79</v>
      </c>
      <c r="G39" s="206">
        <v>7.23</v>
      </c>
      <c r="H39" s="268">
        <f t="shared" si="3"/>
        <v>0.62665750668029407</v>
      </c>
      <c r="I39" s="208">
        <f t="shared" si="4"/>
        <v>5.01</v>
      </c>
      <c r="J39" s="210">
        <f t="shared" si="5"/>
        <v>80.16</v>
      </c>
    </row>
    <row r="40" spans="1:10">
      <c r="A40" s="202">
        <v>25</v>
      </c>
      <c r="B40" s="213" t="s">
        <v>149</v>
      </c>
      <c r="C40" s="214">
        <v>479160</v>
      </c>
      <c r="D40" s="214" t="s">
        <v>157</v>
      </c>
      <c r="E40" s="214">
        <v>2</v>
      </c>
      <c r="F40" s="206">
        <v>19.899999999999999</v>
      </c>
      <c r="G40" s="206">
        <v>50.74</v>
      </c>
      <c r="H40" s="268">
        <f t="shared" si="3"/>
        <v>0.61741713283672495</v>
      </c>
      <c r="I40" s="208">
        <f t="shared" si="4"/>
        <v>35.32</v>
      </c>
      <c r="J40" s="210">
        <f t="shared" si="5"/>
        <v>70.64</v>
      </c>
    </row>
    <row r="41" spans="1:10">
      <c r="A41" s="202">
        <v>26</v>
      </c>
      <c r="B41" s="215" t="s">
        <v>173</v>
      </c>
      <c r="C41" s="216">
        <v>289840</v>
      </c>
      <c r="D41" s="216" t="s">
        <v>140</v>
      </c>
      <c r="E41" s="216">
        <v>18</v>
      </c>
      <c r="F41" s="206">
        <v>4.5999999999999996</v>
      </c>
      <c r="G41" s="206">
        <v>4.74</v>
      </c>
      <c r="H41" s="268">
        <f t="shared" si="3"/>
        <v>2.1198061962765965E-2</v>
      </c>
      <c r="I41" s="208">
        <f t="shared" si="4"/>
        <v>4.67</v>
      </c>
      <c r="J41" s="210">
        <f t="shared" si="5"/>
        <v>84.06</v>
      </c>
    </row>
    <row r="42" spans="1:10">
      <c r="A42" s="202">
        <v>27</v>
      </c>
      <c r="B42" s="213" t="s">
        <v>150</v>
      </c>
      <c r="C42" s="214">
        <v>472871</v>
      </c>
      <c r="D42" s="214" t="s">
        <v>132</v>
      </c>
      <c r="E42" s="214">
        <v>6</v>
      </c>
      <c r="F42" s="206">
        <v>4.6500000000000004</v>
      </c>
      <c r="G42" s="206">
        <v>7.06</v>
      </c>
      <c r="H42" s="268">
        <f t="shared" si="3"/>
        <v>0.29105505425441069</v>
      </c>
      <c r="I42" s="208">
        <f t="shared" si="4"/>
        <v>5.86</v>
      </c>
      <c r="J42" s="210">
        <f t="shared" si="5"/>
        <v>35.160000000000004</v>
      </c>
    </row>
    <row r="43" spans="1:10">
      <c r="A43" s="202">
        <v>28</v>
      </c>
      <c r="B43" s="215" t="s">
        <v>151</v>
      </c>
      <c r="C43" s="216">
        <v>222683</v>
      </c>
      <c r="D43" s="216" t="s">
        <v>131</v>
      </c>
      <c r="E43" s="216">
        <v>12</v>
      </c>
      <c r="F43" s="206">
        <v>2.99</v>
      </c>
      <c r="G43" s="206">
        <v>2.75</v>
      </c>
      <c r="H43" s="268">
        <f t="shared" si="3"/>
        <v>5.9130880656714825E-2</v>
      </c>
      <c r="I43" s="208">
        <f t="shared" si="4"/>
        <v>2.87</v>
      </c>
      <c r="J43" s="210">
        <f t="shared" si="5"/>
        <v>34.44</v>
      </c>
    </row>
    <row r="44" spans="1:10">
      <c r="A44" s="202">
        <v>29</v>
      </c>
      <c r="B44" s="215" t="s">
        <v>326</v>
      </c>
      <c r="C44" s="216">
        <v>479905</v>
      </c>
      <c r="D44" s="216" t="s">
        <v>132</v>
      </c>
      <c r="E44" s="216">
        <v>24</v>
      </c>
      <c r="F44" s="206">
        <v>20.5</v>
      </c>
      <c r="G44" s="206">
        <v>11.99</v>
      </c>
      <c r="H44" s="268">
        <f t="shared" si="3"/>
        <v>0.37042035751908348</v>
      </c>
      <c r="I44" s="208">
        <f t="shared" si="4"/>
        <v>16.25</v>
      </c>
      <c r="J44" s="210">
        <f t="shared" si="5"/>
        <v>390</v>
      </c>
    </row>
    <row r="45" spans="1:10">
      <c r="A45" s="202">
        <v>30</v>
      </c>
      <c r="B45" s="215" t="s">
        <v>159</v>
      </c>
      <c r="C45" s="216">
        <v>449786</v>
      </c>
      <c r="D45" s="216" t="s">
        <v>132</v>
      </c>
      <c r="E45" s="216">
        <v>20</v>
      </c>
      <c r="F45" s="206">
        <v>3</v>
      </c>
      <c r="G45" s="206">
        <v>6.46</v>
      </c>
      <c r="H45" s="268">
        <f t="shared" si="3"/>
        <v>0.51724935790812943</v>
      </c>
      <c r="I45" s="208">
        <f t="shared" si="4"/>
        <v>4.7300000000000004</v>
      </c>
      <c r="J45" s="210">
        <f t="shared" si="5"/>
        <v>94.600000000000009</v>
      </c>
    </row>
    <row r="46" spans="1:10" ht="45">
      <c r="A46" s="202">
        <v>31</v>
      </c>
      <c r="B46" s="215" t="s">
        <v>175</v>
      </c>
      <c r="C46" s="216">
        <v>620626</v>
      </c>
      <c r="D46" s="216" t="s">
        <v>176</v>
      </c>
      <c r="E46" s="214">
        <v>600</v>
      </c>
      <c r="F46" s="206">
        <v>5.88</v>
      </c>
      <c r="G46" s="206">
        <v>9.6</v>
      </c>
      <c r="H46" s="268">
        <f t="shared" si="3"/>
        <v>0.33984977080283651</v>
      </c>
      <c r="I46" s="208">
        <f t="shared" si="4"/>
        <v>7.74</v>
      </c>
      <c r="J46" s="210">
        <f t="shared" si="5"/>
        <v>4644</v>
      </c>
    </row>
    <row r="47" spans="1:10">
      <c r="A47" s="202">
        <v>32</v>
      </c>
      <c r="B47" s="215" t="s">
        <v>381</v>
      </c>
      <c r="C47" s="216">
        <v>350834</v>
      </c>
      <c r="D47" s="214" t="s">
        <v>132</v>
      </c>
      <c r="E47" s="214">
        <v>46</v>
      </c>
      <c r="F47" s="206">
        <v>1.48</v>
      </c>
      <c r="G47" s="206">
        <v>3.47</v>
      </c>
      <c r="H47" s="268">
        <f t="shared" si="3"/>
        <v>0.56854242204494121</v>
      </c>
      <c r="I47" s="208">
        <f t="shared" si="4"/>
        <v>2.48</v>
      </c>
      <c r="J47" s="210">
        <f t="shared" si="5"/>
        <v>114.08</v>
      </c>
    </row>
    <row r="48" spans="1:10">
      <c r="A48" s="202">
        <v>33</v>
      </c>
      <c r="B48" s="215" t="s">
        <v>153</v>
      </c>
      <c r="C48" s="216">
        <v>283175</v>
      </c>
      <c r="D48" s="214" t="s">
        <v>132</v>
      </c>
      <c r="E48" s="214">
        <v>4</v>
      </c>
      <c r="F48" s="206">
        <v>6.4</v>
      </c>
      <c r="G48" s="206">
        <v>16.920000000000002</v>
      </c>
      <c r="H48" s="268">
        <f t="shared" si="3"/>
        <v>0.63797284203108806</v>
      </c>
      <c r="I48" s="208">
        <f t="shared" si="4"/>
        <v>11.66</v>
      </c>
      <c r="J48" s="210">
        <f t="shared" si="5"/>
        <v>46.64</v>
      </c>
    </row>
    <row r="49" spans="1:10" s="276" customFormat="1" ht="30">
      <c r="A49" s="272">
        <v>34</v>
      </c>
      <c r="B49" s="273" t="s">
        <v>168</v>
      </c>
      <c r="C49" s="274">
        <v>226792</v>
      </c>
      <c r="D49" s="274" t="s">
        <v>167</v>
      </c>
      <c r="E49" s="274">
        <v>3</v>
      </c>
      <c r="F49" s="275">
        <v>14.05</v>
      </c>
      <c r="G49" s="275">
        <v>25.74</v>
      </c>
      <c r="H49" s="268">
        <f t="shared" si="3"/>
        <v>0.4154852109610826</v>
      </c>
      <c r="I49" s="208">
        <f t="shared" si="4"/>
        <v>19.899999999999999</v>
      </c>
      <c r="J49" s="210">
        <f t="shared" si="5"/>
        <v>59.699999999999996</v>
      </c>
    </row>
    <row r="50" spans="1:10" ht="45">
      <c r="A50" s="202">
        <v>35</v>
      </c>
      <c r="B50" s="215" t="s">
        <v>160</v>
      </c>
      <c r="C50" s="216">
        <v>225731</v>
      </c>
      <c r="D50" s="214" t="s">
        <v>157</v>
      </c>
      <c r="E50" s="214">
        <v>4</v>
      </c>
      <c r="F50" s="206">
        <v>15.35</v>
      </c>
      <c r="G50" s="206">
        <v>30.8</v>
      </c>
      <c r="H50" s="268">
        <f t="shared" si="3"/>
        <v>0.47344744395805705</v>
      </c>
      <c r="I50" s="208">
        <f t="shared" si="4"/>
        <v>23.08</v>
      </c>
      <c r="J50" s="210">
        <f t="shared" si="5"/>
        <v>92.32</v>
      </c>
    </row>
    <row r="51" spans="1:10" ht="30">
      <c r="A51" s="202">
        <v>36</v>
      </c>
      <c r="B51" s="215" t="s">
        <v>391</v>
      </c>
      <c r="C51" s="216">
        <v>328295</v>
      </c>
      <c r="D51" s="214" t="s">
        <v>390</v>
      </c>
      <c r="E51" s="214">
        <v>6</v>
      </c>
      <c r="F51" s="206">
        <v>45.97</v>
      </c>
      <c r="G51" s="206">
        <v>42.35</v>
      </c>
      <c r="H51" s="268">
        <f t="shared" si="3"/>
        <v>5.7964822189658073E-2</v>
      </c>
      <c r="I51" s="208">
        <f t="shared" si="4"/>
        <v>44.16</v>
      </c>
      <c r="J51" s="210">
        <f t="shared" si="5"/>
        <v>264.95999999999998</v>
      </c>
    </row>
    <row r="52" spans="1:10" ht="30">
      <c r="A52" s="202">
        <v>37</v>
      </c>
      <c r="B52" s="215" t="s">
        <v>388</v>
      </c>
      <c r="C52" s="216">
        <v>615864</v>
      </c>
      <c r="D52" s="214" t="s">
        <v>390</v>
      </c>
      <c r="E52" s="214">
        <v>6</v>
      </c>
      <c r="F52" s="206">
        <v>12</v>
      </c>
      <c r="G52" s="206">
        <v>7.44</v>
      </c>
      <c r="H52" s="268">
        <f t="shared" si="3"/>
        <v>0.33172910722331833</v>
      </c>
      <c r="I52" s="208">
        <f t="shared" si="4"/>
        <v>9.7200000000000006</v>
      </c>
      <c r="J52" s="210">
        <f t="shared" si="5"/>
        <v>58.320000000000007</v>
      </c>
    </row>
    <row r="53" spans="1:10" ht="30">
      <c r="A53" s="202">
        <v>38</v>
      </c>
      <c r="B53" s="215" t="s">
        <v>389</v>
      </c>
      <c r="C53" s="216">
        <v>339929</v>
      </c>
      <c r="D53" s="214" t="s">
        <v>390</v>
      </c>
      <c r="E53" s="214">
        <v>6</v>
      </c>
      <c r="F53" s="206">
        <v>30.58</v>
      </c>
      <c r="G53" s="206">
        <v>9.48</v>
      </c>
      <c r="H53" s="268">
        <f t="shared" si="3"/>
        <v>0.74488033365133033</v>
      </c>
      <c r="I53" s="208">
        <f t="shared" si="4"/>
        <v>20.03</v>
      </c>
      <c r="J53" s="210">
        <f t="shared" si="5"/>
        <v>120.18</v>
      </c>
    </row>
    <row r="54" spans="1:10">
      <c r="A54" s="202">
        <v>39</v>
      </c>
      <c r="B54" s="215" t="s">
        <v>154</v>
      </c>
      <c r="C54" s="216">
        <v>252681</v>
      </c>
      <c r="D54" s="214" t="s">
        <v>132</v>
      </c>
      <c r="E54" s="214">
        <v>8</v>
      </c>
      <c r="F54" s="206">
        <v>2.6</v>
      </c>
      <c r="G54" s="206">
        <v>4.6100000000000003</v>
      </c>
      <c r="H54" s="268">
        <f t="shared" si="3"/>
        <v>0.39425371156309558</v>
      </c>
      <c r="I54" s="208">
        <f t="shared" si="4"/>
        <v>3.61</v>
      </c>
      <c r="J54" s="210">
        <f t="shared" si="5"/>
        <v>28.88</v>
      </c>
    </row>
    <row r="55" spans="1:10" ht="45">
      <c r="A55" s="202">
        <v>40</v>
      </c>
      <c r="B55" s="217" t="s">
        <v>392</v>
      </c>
      <c r="C55" s="218">
        <v>412918</v>
      </c>
      <c r="D55" s="225" t="s">
        <v>177</v>
      </c>
      <c r="E55" s="225">
        <v>1200</v>
      </c>
      <c r="F55" s="220">
        <v>10</v>
      </c>
      <c r="G55" s="220">
        <v>13.03</v>
      </c>
      <c r="H55" s="268">
        <f t="shared" si="3"/>
        <v>0.18606457203606019</v>
      </c>
      <c r="I55" s="208">
        <f t="shared" si="4"/>
        <v>11.52</v>
      </c>
      <c r="J55" s="210">
        <f>I55*E55</f>
        <v>13824</v>
      </c>
    </row>
    <row r="56" spans="1:10" s="227" customFormat="1" ht="15.75">
      <c r="A56" s="502" t="s">
        <v>240</v>
      </c>
      <c r="B56" s="502"/>
      <c r="C56" s="502"/>
      <c r="D56" s="502"/>
      <c r="E56" s="502"/>
      <c r="F56" s="502"/>
      <c r="G56" s="502"/>
      <c r="H56" s="502"/>
      <c r="I56" s="502"/>
      <c r="J56" s="226">
        <f>SUM(J30:J55)</f>
        <v>21760.239999999998</v>
      </c>
    </row>
    <row r="57" spans="1:10" s="227" customFormat="1" ht="15.75">
      <c r="A57" s="502" t="s">
        <v>241</v>
      </c>
      <c r="B57" s="502"/>
      <c r="C57" s="502"/>
      <c r="D57" s="502"/>
      <c r="E57" s="502"/>
      <c r="F57" s="502"/>
      <c r="G57" s="502"/>
      <c r="H57" s="502"/>
      <c r="I57" s="502"/>
      <c r="J57" s="502"/>
    </row>
    <row r="58" spans="1:10" s="227" customFormat="1" ht="15.75">
      <c r="A58" s="503" t="s">
        <v>242</v>
      </c>
      <c r="B58" s="503"/>
      <c r="C58" s="503"/>
      <c r="D58" s="503"/>
      <c r="E58" s="503"/>
      <c r="F58" s="503"/>
      <c r="G58" s="503"/>
      <c r="H58" s="503"/>
      <c r="I58" s="228">
        <v>0.1</v>
      </c>
      <c r="J58" s="229">
        <f>$J$56*$I$58</f>
        <v>2176.0239999999999</v>
      </c>
    </row>
    <row r="59" spans="1:10" s="227" customFormat="1" ht="15.75">
      <c r="A59" s="503" t="s">
        <v>243</v>
      </c>
      <c r="B59" s="503"/>
      <c r="C59" s="503"/>
      <c r="D59" s="503"/>
      <c r="E59" s="503"/>
      <c r="F59" s="503"/>
      <c r="G59" s="503"/>
      <c r="H59" s="503"/>
      <c r="I59" s="230">
        <v>0.05</v>
      </c>
      <c r="J59" s="229">
        <f>$J$56*$I$59</f>
        <v>1088.0119999999999</v>
      </c>
    </row>
    <row r="60" spans="1:10" s="227" customFormat="1" ht="15.75">
      <c r="A60" s="503" t="s">
        <v>244</v>
      </c>
      <c r="B60" s="503"/>
      <c r="C60" s="503"/>
      <c r="D60" s="503"/>
      <c r="E60" s="503"/>
      <c r="F60" s="503"/>
      <c r="G60" s="503"/>
      <c r="H60" s="503"/>
      <c r="I60" s="231">
        <f>SUM(I58:I59)</f>
        <v>0.15000000000000002</v>
      </c>
      <c r="J60" s="229">
        <f>SUM(J58:J59)</f>
        <v>3264.0360000000001</v>
      </c>
    </row>
    <row r="61" spans="1:10" s="227" customFormat="1" ht="15.75">
      <c r="A61" s="502" t="s">
        <v>245</v>
      </c>
      <c r="B61" s="502"/>
      <c r="C61" s="502"/>
      <c r="D61" s="502"/>
      <c r="E61" s="502"/>
      <c r="F61" s="502"/>
      <c r="G61" s="502"/>
      <c r="H61" s="502"/>
      <c r="I61" s="502"/>
      <c r="J61" s="502"/>
    </row>
    <row r="62" spans="1:10" s="227" customFormat="1" ht="15.75">
      <c r="A62" s="503" t="s">
        <v>24</v>
      </c>
      <c r="B62" s="503"/>
      <c r="C62" s="503"/>
      <c r="D62" s="503"/>
      <c r="E62" s="503"/>
      <c r="F62" s="503"/>
      <c r="G62" s="503"/>
      <c r="H62" s="503"/>
      <c r="I62" s="232">
        <f>'Servente de limpeza'!G125</f>
        <v>1.6500000000000001E-2</v>
      </c>
      <c r="J62" s="229">
        <f>ROUND((($J$56+$J$60)*I62/(1-$I$65)),2)</f>
        <v>481.52</v>
      </c>
    </row>
    <row r="63" spans="1:10" s="227" customFormat="1" ht="15.75">
      <c r="A63" s="503" t="s">
        <v>23</v>
      </c>
      <c r="B63" s="503"/>
      <c r="C63" s="503"/>
      <c r="D63" s="503"/>
      <c r="E63" s="503"/>
      <c r="F63" s="503"/>
      <c r="G63" s="503"/>
      <c r="H63" s="503"/>
      <c r="I63" s="232">
        <f>'Servente de limpeza'!G126</f>
        <v>7.5999999999999998E-2</v>
      </c>
      <c r="J63" s="229">
        <f>ROUND((($J$56+$J$60)*I63/(1-$I$65)),2)</f>
        <v>2217.9</v>
      </c>
    </row>
    <row r="64" spans="1:10" s="227" customFormat="1" ht="15.75">
      <c r="A64" s="503" t="s">
        <v>100</v>
      </c>
      <c r="B64" s="503"/>
      <c r="C64" s="503"/>
      <c r="D64" s="503"/>
      <c r="E64" s="503"/>
      <c r="F64" s="503"/>
      <c r="G64" s="503"/>
      <c r="H64" s="503"/>
      <c r="I64" s="232">
        <f>'Servente de limpeza'!G129</f>
        <v>0.05</v>
      </c>
      <c r="J64" s="229">
        <f>ROUND((($J$56+$J$60)*I64/(1-$I$65)),2)</f>
        <v>1459.14</v>
      </c>
    </row>
    <row r="65" spans="1:10" s="227" customFormat="1" ht="15.75">
      <c r="A65" s="502" t="s">
        <v>246</v>
      </c>
      <c r="B65" s="502"/>
      <c r="C65" s="502"/>
      <c r="D65" s="502"/>
      <c r="E65" s="502"/>
      <c r="F65" s="502"/>
      <c r="G65" s="502"/>
      <c r="H65" s="502"/>
      <c r="I65" s="233">
        <f>SUM(I62:I64)</f>
        <v>0.14250000000000002</v>
      </c>
      <c r="J65" s="229">
        <f>SUM(J62:J64)</f>
        <v>4158.5600000000004</v>
      </c>
    </row>
    <row r="66" spans="1:10" s="227" customFormat="1" ht="15.75">
      <c r="A66" s="502" t="s">
        <v>247</v>
      </c>
      <c r="B66" s="502"/>
      <c r="C66" s="502"/>
      <c r="D66" s="502"/>
      <c r="E66" s="502"/>
      <c r="F66" s="502"/>
      <c r="G66" s="502"/>
      <c r="H66" s="502"/>
      <c r="I66" s="482">
        <f>ROUND(SUM(J56,J60,J65),2)</f>
        <v>29182.84</v>
      </c>
      <c r="J66" s="483"/>
    </row>
    <row r="67" spans="1:10" s="227" customFormat="1" ht="15.75">
      <c r="A67" s="502" t="s">
        <v>323</v>
      </c>
      <c r="B67" s="502"/>
      <c r="C67" s="502"/>
      <c r="D67" s="502"/>
      <c r="E67" s="502"/>
      <c r="F67" s="502"/>
      <c r="G67" s="502"/>
      <c r="H67" s="502"/>
      <c r="I67" s="501">
        <f>ROUND(I66*12,2)</f>
        <v>350194.08</v>
      </c>
      <c r="J67" s="501"/>
    </row>
    <row r="68" spans="1:10" ht="18.75" customHeight="1">
      <c r="B68" s="196" t="s">
        <v>123</v>
      </c>
      <c r="C68" s="196"/>
    </row>
    <row r="69" spans="1:10" ht="40.5" customHeight="1">
      <c r="B69" s="9" t="s">
        <v>124</v>
      </c>
      <c r="J69" s="234"/>
    </row>
    <row r="70" spans="1:10" ht="15.75" customHeight="1">
      <c r="B70" s="494" t="s">
        <v>125</v>
      </c>
      <c r="C70" s="494"/>
      <c r="D70" s="494"/>
      <c r="E70" s="494"/>
      <c r="F70" s="494"/>
      <c r="G70" s="494"/>
    </row>
    <row r="71" spans="1:10" s="271" customFormat="1" ht="15.75" customHeight="1">
      <c r="B71" s="267"/>
      <c r="C71" s="267"/>
      <c r="D71" s="267"/>
      <c r="E71" s="267"/>
      <c r="F71" s="267"/>
      <c r="G71" s="267"/>
    </row>
    <row r="72" spans="1:10" ht="15.75" customHeight="1">
      <c r="B72" s="201"/>
      <c r="C72" s="201"/>
      <c r="D72" s="201"/>
      <c r="E72" s="201"/>
      <c r="F72" s="201"/>
      <c r="G72" s="201"/>
    </row>
    <row r="73" spans="1:10" ht="15.75" customHeight="1">
      <c r="B73" s="201"/>
      <c r="C73" s="201"/>
      <c r="D73" s="201"/>
      <c r="E73" s="201"/>
      <c r="F73" s="201"/>
      <c r="G73" s="201"/>
    </row>
    <row r="74" spans="1:10" ht="12" customHeight="1">
      <c r="D74" s="263" t="s">
        <v>400</v>
      </c>
    </row>
    <row r="75" spans="1:10" ht="12" customHeight="1">
      <c r="I75" s="234"/>
    </row>
    <row r="76" spans="1:10" ht="12" customHeight="1">
      <c r="F76" s="487"/>
      <c r="G76" s="487"/>
    </row>
    <row r="77" spans="1:10" ht="12" customHeight="1"/>
    <row r="78" spans="1:10" ht="15.75">
      <c r="B78" s="485" t="s">
        <v>294</v>
      </c>
      <c r="C78" s="485"/>
    </row>
    <row r="79" spans="1:10" ht="15.75">
      <c r="B79" s="486" t="s">
        <v>295</v>
      </c>
      <c r="C79" s="486"/>
    </row>
    <row r="80" spans="1:1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</sheetData>
  <sortState ref="A23:D27">
    <sortCondition ref="B23:B27"/>
  </sortState>
  <mergeCells count="46">
    <mergeCell ref="A1:K1"/>
    <mergeCell ref="I67:J67"/>
    <mergeCell ref="A66:H66"/>
    <mergeCell ref="A67:H67"/>
    <mergeCell ref="A58:H58"/>
    <mergeCell ref="A59:H59"/>
    <mergeCell ref="A60:H60"/>
    <mergeCell ref="A62:H62"/>
    <mergeCell ref="A63:H63"/>
    <mergeCell ref="A64:H64"/>
    <mergeCell ref="A65:H65"/>
    <mergeCell ref="A56:I56"/>
    <mergeCell ref="A57:J57"/>
    <mergeCell ref="A61:J61"/>
    <mergeCell ref="H5:H6"/>
    <mergeCell ref="I5:I6"/>
    <mergeCell ref="A4:K4"/>
    <mergeCell ref="K5:K6"/>
    <mergeCell ref="J5:J6"/>
    <mergeCell ref="A5:A6"/>
    <mergeCell ref="B5:B6"/>
    <mergeCell ref="D5:D6"/>
    <mergeCell ref="C5:C6"/>
    <mergeCell ref="E5:E6"/>
    <mergeCell ref="C28:C29"/>
    <mergeCell ref="H28:H29"/>
    <mergeCell ref="I28:I29"/>
    <mergeCell ref="B28:B29"/>
    <mergeCell ref="D28:D29"/>
    <mergeCell ref="E28:E29"/>
    <mergeCell ref="I66:J66"/>
    <mergeCell ref="B2:K2"/>
    <mergeCell ref="B78:C78"/>
    <mergeCell ref="B79:C79"/>
    <mergeCell ref="F76:G76"/>
    <mergeCell ref="A25:K25"/>
    <mergeCell ref="J21:K21"/>
    <mergeCell ref="A21:I21"/>
    <mergeCell ref="J24:K24"/>
    <mergeCell ref="A22:J22"/>
    <mergeCell ref="A24:I24"/>
    <mergeCell ref="A23:J23"/>
    <mergeCell ref="B70:G70"/>
    <mergeCell ref="J28:J29"/>
    <mergeCell ref="A27:J27"/>
    <mergeCell ref="A28:A29"/>
  </mergeCells>
  <pageMargins left="0.39370078740157483" right="0.39370078740157483" top="0.78740157480314965" bottom="0.78740157480314965" header="0" footer="0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K32"/>
  <sheetViews>
    <sheetView zoomScale="70" zoomScaleNormal="70" workbookViewId="0">
      <selection activeCell="E10" sqref="E10:E11"/>
    </sheetView>
  </sheetViews>
  <sheetFormatPr defaultRowHeight="15"/>
  <cols>
    <col min="2" max="2" width="9.28515625" customWidth="1"/>
    <col min="3" max="3" width="49.7109375" customWidth="1"/>
    <col min="4" max="4" width="12.42578125" customWidth="1"/>
    <col min="5" max="5" width="13" customWidth="1"/>
    <col min="6" max="6" width="17.42578125" customWidth="1"/>
    <col min="7" max="7" width="16.42578125" customWidth="1"/>
    <col min="8" max="8" width="21.7109375" customWidth="1"/>
    <col min="9" max="9" width="18.7109375" bestFit="1" customWidth="1"/>
    <col min="10" max="10" width="16.7109375" customWidth="1"/>
    <col min="11" max="11" width="18.7109375" customWidth="1"/>
  </cols>
  <sheetData>
    <row r="2" spans="2:11" ht="15.75">
      <c r="B2" s="484" t="s">
        <v>397</v>
      </c>
      <c r="C2" s="484"/>
      <c r="D2" s="484"/>
      <c r="E2" s="484"/>
      <c r="F2" s="484"/>
      <c r="G2" s="484"/>
      <c r="H2" s="484"/>
      <c r="I2" s="484"/>
      <c r="J2" s="484"/>
      <c r="K2" s="484"/>
    </row>
    <row r="3" spans="2:11" ht="15.75">
      <c r="B3" s="484" t="s">
        <v>279</v>
      </c>
      <c r="C3" s="484"/>
      <c r="D3" s="484"/>
      <c r="E3" s="484"/>
      <c r="F3" s="484"/>
      <c r="G3" s="484"/>
      <c r="H3" s="484"/>
      <c r="I3" s="484"/>
      <c r="J3" s="484"/>
      <c r="K3" s="484"/>
    </row>
    <row r="4" spans="2:11" ht="15.75">
      <c r="B4" s="196"/>
      <c r="C4" s="9"/>
      <c r="D4" s="9"/>
      <c r="E4" s="9"/>
      <c r="F4" s="9"/>
      <c r="G4" s="9"/>
      <c r="H4" s="9"/>
      <c r="I4" s="9"/>
      <c r="J4" s="9"/>
      <c r="K4" s="9"/>
    </row>
    <row r="5" spans="2:11" ht="15.75">
      <c r="B5" s="505" t="s">
        <v>143</v>
      </c>
      <c r="C5" s="506"/>
      <c r="D5" s="506"/>
      <c r="E5" s="506"/>
      <c r="F5" s="506"/>
      <c r="G5" s="506"/>
      <c r="H5" s="506"/>
      <c r="I5" s="506"/>
      <c r="J5" s="506"/>
      <c r="K5" s="507"/>
    </row>
    <row r="6" spans="2:11" s="238" customFormat="1" ht="78.75">
      <c r="B6" s="499" t="s">
        <v>135</v>
      </c>
      <c r="C6" s="499" t="s">
        <v>134</v>
      </c>
      <c r="D6" s="499" t="s">
        <v>305</v>
      </c>
      <c r="E6" s="499" t="s">
        <v>133</v>
      </c>
      <c r="F6" s="499" t="s">
        <v>293</v>
      </c>
      <c r="G6" s="235" t="s">
        <v>309</v>
      </c>
      <c r="H6" s="197" t="s">
        <v>304</v>
      </c>
      <c r="I6" s="499" t="s">
        <v>138</v>
      </c>
      <c r="J6" s="499" t="s">
        <v>137</v>
      </c>
      <c r="K6" s="499" t="s">
        <v>298</v>
      </c>
    </row>
    <row r="7" spans="2:11" s="238" customFormat="1" ht="31.5">
      <c r="B7" s="500"/>
      <c r="C7" s="500"/>
      <c r="D7" s="500"/>
      <c r="E7" s="500"/>
      <c r="F7" s="500"/>
      <c r="G7" s="236" t="s">
        <v>308</v>
      </c>
      <c r="H7" s="198" t="s">
        <v>310</v>
      </c>
      <c r="I7" s="500"/>
      <c r="J7" s="500"/>
      <c r="K7" s="500"/>
    </row>
    <row r="8" spans="2:11">
      <c r="B8" s="511">
        <v>39</v>
      </c>
      <c r="C8" s="512" t="s">
        <v>128</v>
      </c>
      <c r="D8" s="519">
        <v>453050</v>
      </c>
      <c r="E8" s="513" t="s">
        <v>140</v>
      </c>
      <c r="F8" s="508">
        <v>2</v>
      </c>
      <c r="G8" s="509">
        <v>51.9</v>
      </c>
      <c r="H8" s="509">
        <v>62.3</v>
      </c>
      <c r="I8" s="515">
        <f>STDEVA(G8:H9)/AVERAGE(G8:H9)</f>
        <v>0.12879002669597361</v>
      </c>
      <c r="J8" s="504">
        <f>ROUND(AVERAGE(G8:H9),2)</f>
        <v>57.1</v>
      </c>
      <c r="K8" s="504">
        <f>J8*F8</f>
        <v>114.2</v>
      </c>
    </row>
    <row r="9" spans="2:11">
      <c r="B9" s="511"/>
      <c r="C9" s="512"/>
      <c r="D9" s="520"/>
      <c r="E9" s="514"/>
      <c r="F9" s="508"/>
      <c r="G9" s="510"/>
      <c r="H9" s="510"/>
      <c r="I9" s="515"/>
      <c r="J9" s="504"/>
      <c r="K9" s="504"/>
    </row>
    <row r="10" spans="2:11">
      <c r="B10" s="511">
        <v>40</v>
      </c>
      <c r="C10" s="512" t="s">
        <v>129</v>
      </c>
      <c r="D10" s="519">
        <v>619810</v>
      </c>
      <c r="E10" s="513" t="s">
        <v>140</v>
      </c>
      <c r="F10" s="508">
        <v>2</v>
      </c>
      <c r="G10" s="509">
        <v>20</v>
      </c>
      <c r="H10" s="509">
        <v>33.369999999999997</v>
      </c>
      <c r="I10" s="515">
        <f t="shared" ref="I10" si="0">STDEVA(G10:H11)/AVERAGE(G10:H11)</f>
        <v>0.35428209347813894</v>
      </c>
      <c r="J10" s="504">
        <f t="shared" ref="J10" si="1">ROUND(AVERAGE(G10:H11),2)</f>
        <v>26.69</v>
      </c>
      <c r="K10" s="504">
        <f>J10*F10</f>
        <v>53.38</v>
      </c>
    </row>
    <row r="11" spans="2:11">
      <c r="B11" s="511"/>
      <c r="C11" s="512"/>
      <c r="D11" s="520"/>
      <c r="E11" s="514"/>
      <c r="F11" s="508"/>
      <c r="G11" s="510"/>
      <c r="H11" s="510"/>
      <c r="I11" s="515"/>
      <c r="J11" s="504"/>
      <c r="K11" s="504"/>
    </row>
    <row r="12" spans="2:11">
      <c r="B12" s="511">
        <v>41</v>
      </c>
      <c r="C12" s="512" t="s">
        <v>130</v>
      </c>
      <c r="D12" s="519">
        <v>446156</v>
      </c>
      <c r="E12" s="513" t="s">
        <v>140</v>
      </c>
      <c r="F12" s="508">
        <v>2</v>
      </c>
      <c r="G12" s="509">
        <v>11.5</v>
      </c>
      <c r="H12" s="509">
        <v>6.7</v>
      </c>
      <c r="I12" s="515">
        <f t="shared" ref="I12" si="2">STDEVA(G12:H13)/AVERAGE(G12:H13)</f>
        <v>0.37297940106543181</v>
      </c>
      <c r="J12" s="504">
        <f t="shared" ref="J12" si="3">ROUND(AVERAGE(G12:H13),2)</f>
        <v>9.1</v>
      </c>
      <c r="K12" s="504">
        <f>J12*F12</f>
        <v>18.2</v>
      </c>
    </row>
    <row r="13" spans="2:11">
      <c r="B13" s="511"/>
      <c r="C13" s="512"/>
      <c r="D13" s="520"/>
      <c r="E13" s="514"/>
      <c r="F13" s="508"/>
      <c r="G13" s="510"/>
      <c r="H13" s="510"/>
      <c r="I13" s="515"/>
      <c r="J13" s="504"/>
      <c r="K13" s="504"/>
    </row>
    <row r="14" spans="2:11">
      <c r="B14" s="511">
        <v>42</v>
      </c>
      <c r="C14" s="512" t="s">
        <v>376</v>
      </c>
      <c r="D14" s="519">
        <v>606877</v>
      </c>
      <c r="E14" s="513" t="s">
        <v>140</v>
      </c>
      <c r="F14" s="508">
        <v>2</v>
      </c>
      <c r="G14" s="509">
        <v>86.55</v>
      </c>
      <c r="H14" s="509">
        <v>60.67</v>
      </c>
      <c r="I14" s="515">
        <f t="shared" ref="I14" si="4">STDEVA(G14:H15)/AVERAGE(G14:H15)</f>
        <v>0.24860648685107767</v>
      </c>
      <c r="J14" s="504">
        <f t="shared" ref="J14" si="5">ROUND(AVERAGE(G14:H15),2)</f>
        <v>73.61</v>
      </c>
      <c r="K14" s="504">
        <f>J14*F14</f>
        <v>147.22</v>
      </c>
    </row>
    <row r="15" spans="2:11">
      <c r="B15" s="511"/>
      <c r="C15" s="516"/>
      <c r="D15" s="520"/>
      <c r="E15" s="517"/>
      <c r="F15" s="518"/>
      <c r="G15" s="510"/>
      <c r="H15" s="510"/>
      <c r="I15" s="515"/>
      <c r="J15" s="504"/>
      <c r="K15" s="504"/>
    </row>
    <row r="16" spans="2:11">
      <c r="B16" s="511">
        <v>43</v>
      </c>
      <c r="C16" s="512" t="s">
        <v>354</v>
      </c>
      <c r="D16" s="519">
        <v>618294</v>
      </c>
      <c r="E16" s="513" t="s">
        <v>140</v>
      </c>
      <c r="F16" s="508">
        <v>2</v>
      </c>
      <c r="G16" s="509">
        <v>55.7</v>
      </c>
      <c r="H16" s="509">
        <v>38.35</v>
      </c>
      <c r="I16" s="515">
        <f t="shared" ref="I16" si="6">STDEVA(G16:H17)/AVERAGE(G16:H17)</f>
        <v>0.26088894531816226</v>
      </c>
      <c r="J16" s="504">
        <f t="shared" ref="J16" si="7">ROUND(AVERAGE(G16:H17),2)</f>
        <v>47.03</v>
      </c>
      <c r="K16" s="504">
        <f>J16*F16</f>
        <v>94.06</v>
      </c>
    </row>
    <row r="17" spans="2:11">
      <c r="B17" s="511"/>
      <c r="C17" s="516"/>
      <c r="D17" s="520"/>
      <c r="E17" s="517"/>
      <c r="F17" s="518"/>
      <c r="G17" s="510"/>
      <c r="H17" s="510"/>
      <c r="I17" s="515"/>
      <c r="J17" s="504"/>
      <c r="K17" s="504"/>
    </row>
    <row r="18" spans="2:11">
      <c r="B18" s="511">
        <v>44</v>
      </c>
      <c r="C18" s="512" t="s">
        <v>348</v>
      </c>
      <c r="D18" s="519">
        <v>10111</v>
      </c>
      <c r="E18" s="513" t="s">
        <v>140</v>
      </c>
      <c r="F18" s="508">
        <v>1</v>
      </c>
      <c r="G18" s="509">
        <v>7.88</v>
      </c>
      <c r="H18" s="509">
        <v>21.33</v>
      </c>
      <c r="I18" s="515">
        <f t="shared" ref="I18" si="8">STDEVA(G18:H19)/AVERAGE(G18:H19)</f>
        <v>0.65118700492701576</v>
      </c>
      <c r="J18" s="504">
        <f t="shared" ref="J18" si="9">ROUND(AVERAGE(G18:H19),2)</f>
        <v>14.61</v>
      </c>
      <c r="K18" s="504">
        <f>J18*F18</f>
        <v>14.61</v>
      </c>
    </row>
    <row r="19" spans="2:11">
      <c r="B19" s="511"/>
      <c r="C19" s="516"/>
      <c r="D19" s="520"/>
      <c r="E19" s="517"/>
      <c r="F19" s="518"/>
      <c r="G19" s="510"/>
      <c r="H19" s="510"/>
      <c r="I19" s="515"/>
      <c r="J19" s="504"/>
      <c r="K19" s="504"/>
    </row>
    <row r="20" spans="2:11" ht="15.75">
      <c r="B20" s="484" t="s">
        <v>187</v>
      </c>
      <c r="C20" s="484"/>
      <c r="D20" s="484"/>
      <c r="E20" s="484"/>
      <c r="F20" s="484"/>
      <c r="G20" s="484"/>
      <c r="H20" s="484"/>
      <c r="I20" s="484"/>
      <c r="J20" s="521">
        <f>SUM(K8:K19)</f>
        <v>441.67</v>
      </c>
      <c r="K20" s="522"/>
    </row>
    <row r="21" spans="2:11" ht="15.75">
      <c r="B21" s="484" t="s">
        <v>144</v>
      </c>
      <c r="C21" s="484"/>
      <c r="D21" s="484"/>
      <c r="E21" s="484"/>
      <c r="F21" s="484"/>
      <c r="G21" s="484"/>
      <c r="H21" s="484"/>
      <c r="I21" s="484"/>
      <c r="J21" s="244">
        <f>J20/12</f>
        <v>36.805833333333332</v>
      </c>
      <c r="K21" s="244"/>
    </row>
    <row r="22" spans="2:11" ht="15.75">
      <c r="B22" s="490" t="s">
        <v>178</v>
      </c>
      <c r="C22" s="490"/>
      <c r="D22" s="490"/>
      <c r="E22" s="490"/>
      <c r="F22" s="490"/>
      <c r="G22" s="490"/>
      <c r="H22" s="490"/>
      <c r="I22" s="490"/>
      <c r="J22" s="490"/>
      <c r="K22" s="199">
        <v>6</v>
      </c>
    </row>
    <row r="23" spans="2:11" ht="15.75">
      <c r="B23" s="490" t="s">
        <v>318</v>
      </c>
      <c r="C23" s="490"/>
      <c r="D23" s="490"/>
      <c r="E23" s="490"/>
      <c r="F23" s="490"/>
      <c r="G23" s="490"/>
      <c r="H23" s="490"/>
      <c r="I23" s="490"/>
      <c r="J23" s="490"/>
      <c r="K23" s="200">
        <f>J21*K22</f>
        <v>220.83499999999998</v>
      </c>
    </row>
    <row r="28" spans="2:11">
      <c r="E28" s="263" t="s">
        <v>400</v>
      </c>
    </row>
    <row r="31" spans="2:11" ht="15.75">
      <c r="C31" s="485" t="s">
        <v>294</v>
      </c>
      <c r="D31" s="485"/>
    </row>
    <row r="32" spans="2:11" ht="15.75">
      <c r="C32" s="486" t="s">
        <v>295</v>
      </c>
      <c r="D32" s="486"/>
    </row>
  </sheetData>
  <mergeCells count="78">
    <mergeCell ref="C31:D31"/>
    <mergeCell ref="C32:D32"/>
    <mergeCell ref="B22:J22"/>
    <mergeCell ref="B23:J23"/>
    <mergeCell ref="D8:D9"/>
    <mergeCell ref="D10:D11"/>
    <mergeCell ref="D12:D13"/>
    <mergeCell ref="D14:D15"/>
    <mergeCell ref="D18:D19"/>
    <mergeCell ref="I18:I19"/>
    <mergeCell ref="J18:J19"/>
    <mergeCell ref="J10:J11"/>
    <mergeCell ref="I8:I9"/>
    <mergeCell ref="J8:J9"/>
    <mergeCell ref="B16:B17"/>
    <mergeCell ref="C16:C17"/>
    <mergeCell ref="D16:D17"/>
    <mergeCell ref="E16:E17"/>
    <mergeCell ref="K18:K19"/>
    <mergeCell ref="B20:I20"/>
    <mergeCell ref="J20:K20"/>
    <mergeCell ref="K16:K17"/>
    <mergeCell ref="F16:F17"/>
    <mergeCell ref="G16:G17"/>
    <mergeCell ref="H16:H17"/>
    <mergeCell ref="I16:I17"/>
    <mergeCell ref="J16:J17"/>
    <mergeCell ref="B21:I21"/>
    <mergeCell ref="B18:B19"/>
    <mergeCell ref="C18:C19"/>
    <mergeCell ref="E18:E19"/>
    <mergeCell ref="F18:F19"/>
    <mergeCell ref="G18:G19"/>
    <mergeCell ref="H18:H19"/>
    <mergeCell ref="H12:H13"/>
    <mergeCell ref="I12:I13"/>
    <mergeCell ref="J12:J13"/>
    <mergeCell ref="K12:K13"/>
    <mergeCell ref="B14:B15"/>
    <mergeCell ref="C14:C15"/>
    <mergeCell ref="E14:E15"/>
    <mergeCell ref="F14:F15"/>
    <mergeCell ref="G14:G15"/>
    <mergeCell ref="H14:H15"/>
    <mergeCell ref="I14:I15"/>
    <mergeCell ref="J14:J15"/>
    <mergeCell ref="K14:K15"/>
    <mergeCell ref="B12:B13"/>
    <mergeCell ref="C12:C13"/>
    <mergeCell ref="E12:E13"/>
    <mergeCell ref="F12:F13"/>
    <mergeCell ref="G12:G13"/>
    <mergeCell ref="K8:K9"/>
    <mergeCell ref="B10:B11"/>
    <mergeCell ref="C10:C11"/>
    <mergeCell ref="E10:E11"/>
    <mergeCell ref="F10:F11"/>
    <mergeCell ref="G10:G11"/>
    <mergeCell ref="H10:H11"/>
    <mergeCell ref="I10:I11"/>
    <mergeCell ref="B8:B9"/>
    <mergeCell ref="C8:C9"/>
    <mergeCell ref="E8:E9"/>
    <mergeCell ref="F8:F9"/>
    <mergeCell ref="G8:G9"/>
    <mergeCell ref="H8:H9"/>
    <mergeCell ref="K10:K11"/>
    <mergeCell ref="B2:K2"/>
    <mergeCell ref="B3:K3"/>
    <mergeCell ref="B5:K5"/>
    <mergeCell ref="B6:B7"/>
    <mergeCell ref="C6:C7"/>
    <mergeCell ref="D6:D7"/>
    <mergeCell ref="E6:E7"/>
    <mergeCell ref="F6:F7"/>
    <mergeCell ref="I6:I7"/>
    <mergeCell ref="J6:J7"/>
    <mergeCell ref="K6:K7"/>
  </mergeCells>
  <pageMargins left="0.511811024" right="0.511811024" top="0.78740157499999996" bottom="0.78740157499999996" header="0.31496062000000002" footer="0.3149606200000000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1009"/>
  <sheetViews>
    <sheetView showGridLines="0" zoomScaleNormal="100" workbookViewId="0">
      <selection activeCell="B115" sqref="B115:G115"/>
    </sheetView>
  </sheetViews>
  <sheetFormatPr defaultColWidth="14.42578125" defaultRowHeight="15" customHeight="1"/>
  <cols>
    <col min="1" max="1" width="17.42578125" style="10" customWidth="1"/>
    <col min="2" max="2" width="61.5703125" style="10" customWidth="1"/>
    <col min="3" max="3" width="14.42578125" style="10" customWidth="1"/>
    <col min="4" max="4" width="13" style="10" customWidth="1"/>
    <col min="5" max="5" width="13.42578125" style="10" customWidth="1"/>
    <col min="6" max="6" width="13.7109375" style="10" customWidth="1"/>
    <col min="7" max="7" width="18.7109375" style="10" customWidth="1"/>
    <col min="8" max="8" width="20.140625" style="10" customWidth="1"/>
    <col min="9" max="9" width="20.42578125" style="10" customWidth="1"/>
    <col min="10" max="10" width="14.85546875" style="10" customWidth="1"/>
    <col min="11" max="11" width="15.7109375" style="10" customWidth="1"/>
    <col min="12" max="12" width="18.140625" style="10" customWidth="1"/>
    <col min="13" max="13" width="19.5703125" style="10" customWidth="1"/>
    <col min="14" max="26" width="8.7109375" style="10" customWidth="1"/>
    <col min="27" max="16384" width="14.42578125" style="10"/>
  </cols>
  <sheetData>
    <row r="1" spans="1:9" ht="15.75" thickBot="1">
      <c r="A1" s="396" t="s">
        <v>398</v>
      </c>
      <c r="B1" s="397"/>
      <c r="C1" s="397"/>
      <c r="D1" s="397"/>
      <c r="E1" s="397"/>
      <c r="F1" s="397"/>
      <c r="G1" s="397"/>
      <c r="H1" s="398"/>
    </row>
    <row r="2" spans="1:9" ht="15.75" thickBot="1">
      <c r="A2" s="399" t="s">
        <v>285</v>
      </c>
      <c r="B2" s="397"/>
      <c r="C2" s="397"/>
      <c r="D2" s="397"/>
      <c r="E2" s="397"/>
      <c r="F2" s="397"/>
      <c r="G2" s="397"/>
      <c r="H2" s="398"/>
    </row>
    <row r="3" spans="1:9" ht="23.25" customHeight="1">
      <c r="A3" s="400" t="s">
        <v>26</v>
      </c>
      <c r="B3" s="401"/>
      <c r="C3" s="401"/>
      <c r="D3" s="401"/>
      <c r="E3" s="401"/>
      <c r="F3" s="401"/>
      <c r="G3" s="401"/>
      <c r="H3" s="401"/>
      <c r="I3" s="46"/>
    </row>
    <row r="4" spans="1:9" ht="16.5" customHeight="1">
      <c r="A4" s="47"/>
      <c r="B4" s="48" t="s">
        <v>212</v>
      </c>
      <c r="C4" s="49"/>
      <c r="D4" s="49"/>
      <c r="E4" s="49"/>
      <c r="F4" s="50"/>
      <c r="G4" s="402" t="s">
        <v>289</v>
      </c>
      <c r="H4" s="403"/>
    </row>
    <row r="5" spans="1:9" ht="16.5" customHeight="1">
      <c r="A5" s="47"/>
      <c r="B5" s="48" t="s">
        <v>27</v>
      </c>
      <c r="C5" s="49"/>
      <c r="D5" s="49"/>
      <c r="E5" s="49"/>
      <c r="F5" s="50"/>
      <c r="G5" s="404" t="s">
        <v>385</v>
      </c>
      <c r="H5" s="403"/>
    </row>
    <row r="6" spans="1:9" ht="14.25">
      <c r="A6" s="51"/>
      <c r="B6" s="51"/>
      <c r="C6" s="51"/>
      <c r="D6" s="51"/>
      <c r="E6" s="51"/>
      <c r="F6" s="51"/>
      <c r="G6" s="13"/>
    </row>
    <row r="7" spans="1:9">
      <c r="A7" s="405" t="s">
        <v>0</v>
      </c>
      <c r="B7" s="401"/>
      <c r="C7" s="401"/>
      <c r="D7" s="401"/>
      <c r="E7" s="401"/>
      <c r="F7" s="401"/>
      <c r="G7" s="401"/>
    </row>
    <row r="8" spans="1:9">
      <c r="A8" s="52" t="s">
        <v>1</v>
      </c>
      <c r="B8" s="406" t="s">
        <v>2</v>
      </c>
      <c r="C8" s="391"/>
      <c r="D8" s="391"/>
      <c r="E8" s="391"/>
      <c r="F8" s="391"/>
      <c r="G8" s="392"/>
      <c r="H8" s="53"/>
    </row>
    <row r="9" spans="1:9">
      <c r="A9" s="52" t="s">
        <v>3</v>
      </c>
      <c r="B9" s="406" t="s">
        <v>4</v>
      </c>
      <c r="C9" s="391"/>
      <c r="D9" s="391"/>
      <c r="E9" s="391"/>
      <c r="F9" s="391"/>
      <c r="G9" s="392"/>
      <c r="H9" s="2" t="s">
        <v>284</v>
      </c>
    </row>
    <row r="10" spans="1:9" ht="29.25" customHeight="1">
      <c r="A10" s="52" t="s">
        <v>5</v>
      </c>
      <c r="B10" s="407" t="s">
        <v>234</v>
      </c>
      <c r="C10" s="408"/>
      <c r="D10" s="408"/>
      <c r="E10" s="408"/>
      <c r="F10" s="408"/>
      <c r="G10" s="409"/>
      <c r="H10" s="3" t="s">
        <v>300</v>
      </c>
    </row>
    <row r="11" spans="1:9">
      <c r="A11" s="52" t="s">
        <v>6</v>
      </c>
      <c r="B11" s="406" t="s">
        <v>213</v>
      </c>
      <c r="C11" s="391"/>
      <c r="D11" s="391"/>
      <c r="E11" s="391"/>
      <c r="F11" s="391"/>
      <c r="G11" s="392"/>
      <c r="H11" s="1">
        <v>12</v>
      </c>
    </row>
    <row r="12" spans="1:9">
      <c r="A12" s="187" t="s">
        <v>290</v>
      </c>
      <c r="B12" s="184"/>
      <c r="C12" s="185"/>
      <c r="D12" s="185"/>
      <c r="E12" s="185"/>
      <c r="F12" s="185"/>
      <c r="G12" s="185"/>
      <c r="H12" s="186"/>
    </row>
    <row r="13" spans="1:9">
      <c r="A13" s="187" t="s">
        <v>291</v>
      </c>
      <c r="B13" s="184"/>
      <c r="C13" s="185"/>
      <c r="D13" s="185"/>
      <c r="E13" s="185"/>
      <c r="F13" s="185"/>
      <c r="G13" s="185"/>
      <c r="H13" s="186"/>
    </row>
    <row r="14" spans="1:9">
      <c r="A14" s="54"/>
      <c r="B14" s="51"/>
      <c r="C14" s="51"/>
      <c r="D14" s="51"/>
      <c r="E14" s="51"/>
      <c r="F14" s="51"/>
      <c r="G14" s="55"/>
    </row>
    <row r="15" spans="1:9">
      <c r="A15" s="411" t="s">
        <v>28</v>
      </c>
      <c r="B15" s="395"/>
      <c r="C15" s="395"/>
      <c r="D15" s="395"/>
      <c r="E15" s="395"/>
      <c r="F15" s="395"/>
      <c r="G15" s="395"/>
      <c r="H15" s="395"/>
    </row>
    <row r="16" spans="1:9" ht="15.75" customHeight="1">
      <c r="A16" s="412" t="s">
        <v>29</v>
      </c>
      <c r="B16" s="413"/>
      <c r="C16" s="413"/>
      <c r="D16" s="413"/>
      <c r="E16" s="413"/>
      <c r="F16" s="414"/>
      <c r="G16" s="415" t="s">
        <v>203</v>
      </c>
      <c r="H16" s="416"/>
    </row>
    <row r="17" spans="1:8" ht="20.100000000000001" customHeight="1">
      <c r="A17" s="312" t="s">
        <v>30</v>
      </c>
      <c r="B17" s="312"/>
      <c r="C17" s="312"/>
      <c r="D17" s="312"/>
      <c r="E17" s="312"/>
      <c r="F17" s="312"/>
      <c r="G17" s="11" t="s">
        <v>204</v>
      </c>
      <c r="H17" s="11" t="s">
        <v>205</v>
      </c>
    </row>
    <row r="18" spans="1:8" ht="14.25">
      <c r="A18" s="429" t="s">
        <v>31</v>
      </c>
      <c r="B18" s="429"/>
      <c r="C18" s="429"/>
      <c r="D18" s="429"/>
      <c r="E18" s="429"/>
      <c r="F18" s="429"/>
      <c r="G18" s="11" t="s">
        <v>206</v>
      </c>
      <c r="H18" s="56">
        <f>SUM('Produtividade Serventes'!D8:E12)</f>
        <v>3360</v>
      </c>
    </row>
    <row r="19" spans="1:8" ht="14.25">
      <c r="A19" s="429"/>
      <c r="B19" s="429"/>
      <c r="C19" s="429"/>
      <c r="D19" s="429"/>
      <c r="E19" s="429"/>
      <c r="F19" s="429"/>
      <c r="G19" s="11" t="s">
        <v>207</v>
      </c>
      <c r="H19" s="56">
        <f>SUM('Produtividade Serventes'!D15:E18)</f>
        <v>2278</v>
      </c>
    </row>
    <row r="20" spans="1:8" ht="28.5">
      <c r="A20" s="429"/>
      <c r="B20" s="429"/>
      <c r="C20" s="429"/>
      <c r="D20" s="429"/>
      <c r="E20" s="429"/>
      <c r="F20" s="429"/>
      <c r="G20" s="11" t="s">
        <v>208</v>
      </c>
      <c r="H20" s="56">
        <f>SUM('Produtividade Serventes'!D22:E27)</f>
        <v>778</v>
      </c>
    </row>
    <row r="21" spans="1:8" ht="28.5">
      <c r="A21" s="429"/>
      <c r="B21" s="429"/>
      <c r="C21" s="429"/>
      <c r="D21" s="429"/>
      <c r="E21" s="429"/>
      <c r="F21" s="429"/>
      <c r="G21" s="11" t="s">
        <v>209</v>
      </c>
      <c r="H21" s="56">
        <f>SUM('Produtividade Serventes'!D31:E32)</f>
        <v>337</v>
      </c>
    </row>
    <row r="22" spans="1:8" ht="14.25">
      <c r="A22" s="57"/>
      <c r="B22" s="57"/>
      <c r="C22" s="57"/>
      <c r="D22" s="57"/>
      <c r="E22" s="57"/>
      <c r="F22" s="57"/>
      <c r="G22" s="13"/>
      <c r="H22" s="13"/>
    </row>
    <row r="23" spans="1:8">
      <c r="A23" s="405" t="s">
        <v>32</v>
      </c>
      <c r="B23" s="401"/>
      <c r="C23" s="401"/>
      <c r="D23" s="401"/>
      <c r="E23" s="401"/>
      <c r="F23" s="401"/>
      <c r="G23" s="401"/>
      <c r="H23" s="401"/>
    </row>
    <row r="24" spans="1:8">
      <c r="A24" s="417" t="s">
        <v>33</v>
      </c>
      <c r="B24" s="401"/>
      <c r="C24" s="401"/>
      <c r="D24" s="401"/>
      <c r="E24" s="401"/>
      <c r="F24" s="401"/>
      <c r="G24" s="401"/>
      <c r="H24" s="401"/>
    </row>
    <row r="25" spans="1:8" ht="27.75" customHeight="1">
      <c r="A25" s="418" t="s">
        <v>34</v>
      </c>
      <c r="B25" s="391"/>
      <c r="C25" s="391"/>
      <c r="D25" s="391"/>
      <c r="E25" s="391"/>
      <c r="F25" s="391"/>
      <c r="G25" s="391"/>
      <c r="H25" s="392"/>
    </row>
    <row r="26" spans="1:8" ht="14.25" customHeight="1">
      <c r="A26" s="52">
        <v>1</v>
      </c>
      <c r="B26" s="156" t="s">
        <v>35</v>
      </c>
      <c r="C26" s="59"/>
      <c r="D26" s="59"/>
      <c r="E26" s="59"/>
      <c r="F26" s="60"/>
      <c r="G26" s="419" t="s">
        <v>235</v>
      </c>
      <c r="H26" s="420"/>
    </row>
    <row r="27" spans="1:8" ht="15" customHeight="1">
      <c r="A27" s="61">
        <v>2</v>
      </c>
      <c r="B27" s="58" t="s">
        <v>36</v>
      </c>
      <c r="C27" s="59"/>
      <c r="D27" s="59"/>
      <c r="E27" s="59"/>
      <c r="F27" s="60"/>
      <c r="G27" s="419" t="s">
        <v>236</v>
      </c>
      <c r="H27" s="392"/>
    </row>
    <row r="28" spans="1:8" ht="15" customHeight="1">
      <c r="A28" s="61">
        <v>3</v>
      </c>
      <c r="B28" s="58" t="s">
        <v>37</v>
      </c>
      <c r="C28" s="59"/>
      <c r="D28" s="59"/>
      <c r="E28" s="59"/>
      <c r="F28" s="60"/>
      <c r="G28" s="421">
        <v>2081.98</v>
      </c>
      <c r="H28" s="392"/>
    </row>
    <row r="29" spans="1:8" ht="30" customHeight="1">
      <c r="A29" s="61">
        <v>4</v>
      </c>
      <c r="B29" s="58" t="s">
        <v>10</v>
      </c>
      <c r="C29" s="59"/>
      <c r="D29" s="59"/>
      <c r="E29" s="59"/>
      <c r="F29" s="60"/>
      <c r="G29" s="422" t="s">
        <v>399</v>
      </c>
      <c r="H29" s="392"/>
    </row>
    <row r="30" spans="1:8" ht="15" customHeight="1">
      <c r="A30" s="61">
        <v>5</v>
      </c>
      <c r="B30" s="58" t="s">
        <v>11</v>
      </c>
      <c r="C30" s="59"/>
      <c r="D30" s="59"/>
      <c r="E30" s="59"/>
      <c r="F30" s="60"/>
      <c r="G30" s="423">
        <v>45658</v>
      </c>
      <c r="H30" s="392"/>
    </row>
    <row r="31" spans="1:8" ht="15.75" customHeight="1">
      <c r="A31" s="62"/>
      <c r="B31" s="62"/>
      <c r="C31" s="62"/>
      <c r="D31" s="62"/>
      <c r="E31" s="62"/>
      <c r="F31" s="62"/>
      <c r="G31" s="62"/>
    </row>
    <row r="32" spans="1:8" ht="15.75" customHeight="1">
      <c r="A32" s="405" t="s">
        <v>38</v>
      </c>
      <c r="B32" s="401"/>
      <c r="C32" s="401"/>
      <c r="D32" s="401"/>
      <c r="E32" s="401"/>
      <c r="F32" s="401"/>
      <c r="G32" s="401"/>
      <c r="H32" s="401"/>
    </row>
    <row r="33" spans="1:8" ht="15.75" customHeight="1">
      <c r="A33" s="63">
        <v>1</v>
      </c>
      <c r="B33" s="424" t="s">
        <v>39</v>
      </c>
      <c r="C33" s="391"/>
      <c r="D33" s="391"/>
      <c r="E33" s="391"/>
      <c r="F33" s="391"/>
      <c r="G33" s="392"/>
      <c r="H33" s="63" t="s">
        <v>12</v>
      </c>
    </row>
    <row r="34" spans="1:8" ht="15.75" customHeight="1">
      <c r="A34" s="64" t="s">
        <v>13</v>
      </c>
      <c r="B34" s="425" t="s">
        <v>40</v>
      </c>
      <c r="C34" s="391"/>
      <c r="D34" s="391"/>
      <c r="E34" s="391"/>
      <c r="F34" s="391"/>
      <c r="G34" s="392"/>
      <c r="H34" s="65">
        <f>G28</f>
        <v>2081.98</v>
      </c>
    </row>
    <row r="35" spans="1:8" ht="15.75" customHeight="1">
      <c r="A35" s="64" t="s">
        <v>3</v>
      </c>
      <c r="B35" s="194" t="s">
        <v>302</v>
      </c>
      <c r="C35" s="192"/>
      <c r="D35" s="192"/>
      <c r="E35" s="192"/>
      <c r="F35" s="192"/>
      <c r="G35" s="193"/>
      <c r="H35" s="65"/>
    </row>
    <row r="36" spans="1:8" ht="15.75" customHeight="1">
      <c r="A36" s="64" t="s">
        <v>5</v>
      </c>
      <c r="B36" s="194" t="s">
        <v>312</v>
      </c>
      <c r="C36" s="192"/>
      <c r="D36" s="192"/>
      <c r="E36" s="192"/>
      <c r="F36" s="192"/>
      <c r="G36" s="195"/>
      <c r="H36" s="65">
        <f>H34*40%</f>
        <v>832.79200000000003</v>
      </c>
    </row>
    <row r="37" spans="1:8" ht="15.75" customHeight="1">
      <c r="A37" s="64" t="s">
        <v>6</v>
      </c>
      <c r="B37" s="523" t="s">
        <v>303</v>
      </c>
      <c r="C37" s="524"/>
      <c r="D37" s="524"/>
      <c r="E37" s="524"/>
      <c r="F37" s="524"/>
      <c r="G37" s="525"/>
      <c r="H37" s="66">
        <v>0</v>
      </c>
    </row>
    <row r="38" spans="1:8" ht="15.75" customHeight="1">
      <c r="A38" s="67"/>
      <c r="B38" s="430" t="s">
        <v>14</v>
      </c>
      <c r="C38" s="391"/>
      <c r="D38" s="391"/>
      <c r="E38" s="391"/>
      <c r="F38" s="391"/>
      <c r="G38" s="392"/>
      <c r="H38" s="68">
        <f>SUM(H34:H37)</f>
        <v>2914.7719999999999</v>
      </c>
    </row>
    <row r="39" spans="1:8" ht="15.75" customHeight="1">
      <c r="A39" s="69"/>
      <c r="B39" s="69"/>
      <c r="C39" s="69"/>
      <c r="D39" s="69"/>
      <c r="E39" s="69"/>
      <c r="F39" s="69"/>
      <c r="G39" s="69"/>
      <c r="H39" s="69"/>
    </row>
    <row r="40" spans="1:8" ht="15.75" customHeight="1">
      <c r="A40" s="405" t="s">
        <v>41</v>
      </c>
      <c r="B40" s="401"/>
      <c r="C40" s="401"/>
      <c r="D40" s="401"/>
      <c r="E40" s="401"/>
      <c r="F40" s="401"/>
      <c r="G40" s="401"/>
      <c r="H40" s="401"/>
    </row>
    <row r="41" spans="1:8" ht="15.75" customHeight="1">
      <c r="A41" s="411" t="s">
        <v>42</v>
      </c>
      <c r="B41" s="395"/>
      <c r="C41" s="395"/>
      <c r="D41" s="395"/>
      <c r="E41" s="395"/>
      <c r="F41" s="395"/>
      <c r="G41" s="395"/>
      <c r="H41" s="395"/>
    </row>
    <row r="42" spans="1:8" ht="15.75" customHeight="1">
      <c r="A42" s="63" t="s">
        <v>43</v>
      </c>
      <c r="B42" s="70" t="s">
        <v>44</v>
      </c>
      <c r="C42" s="71"/>
      <c r="D42" s="71"/>
      <c r="E42" s="71"/>
      <c r="F42" s="72"/>
      <c r="G42" s="73" t="s">
        <v>45</v>
      </c>
      <c r="H42" s="74" t="s">
        <v>12</v>
      </c>
    </row>
    <row r="43" spans="1:8" ht="15.75" customHeight="1">
      <c r="A43" s="75" t="s">
        <v>1</v>
      </c>
      <c r="B43" s="390" t="s">
        <v>46</v>
      </c>
      <c r="C43" s="391"/>
      <c r="D43" s="391"/>
      <c r="E43" s="391"/>
      <c r="F43" s="392"/>
      <c r="G43" s="76">
        <f>1/12</f>
        <v>8.3333333333333329E-2</v>
      </c>
      <c r="H43" s="65">
        <f>$G$43*$H$38</f>
        <v>242.89766666666665</v>
      </c>
    </row>
    <row r="44" spans="1:8" ht="15.75" customHeight="1">
      <c r="A44" s="75" t="s">
        <v>3</v>
      </c>
      <c r="B44" s="390" t="s">
        <v>47</v>
      </c>
      <c r="C44" s="391"/>
      <c r="D44" s="391"/>
      <c r="E44" s="391"/>
      <c r="F44" s="392"/>
      <c r="G44" s="76">
        <v>2.7799999999999998E-2</v>
      </c>
      <c r="H44" s="77">
        <f>$G$44*$H$38</f>
        <v>81.030661599999988</v>
      </c>
    </row>
    <row r="45" spans="1:8" ht="15.75" customHeight="1">
      <c r="A45" s="67"/>
      <c r="B45" s="393" t="s">
        <v>48</v>
      </c>
      <c r="C45" s="391"/>
      <c r="D45" s="391"/>
      <c r="E45" s="391"/>
      <c r="F45" s="391"/>
      <c r="G45" s="392"/>
      <c r="H45" s="78">
        <f>SUM(H43:H44)</f>
        <v>323.92832826666665</v>
      </c>
    </row>
    <row r="46" spans="1:8" ht="15.75" customHeight="1">
      <c r="A46" s="79"/>
      <c r="B46" s="80"/>
      <c r="C46" s="80"/>
      <c r="D46" s="80"/>
      <c r="E46" s="80"/>
      <c r="F46" s="80"/>
      <c r="G46" s="80"/>
      <c r="H46" s="80"/>
    </row>
    <row r="47" spans="1:8" ht="30" customHeight="1">
      <c r="A47" s="394" t="s">
        <v>49</v>
      </c>
      <c r="B47" s="395"/>
      <c r="C47" s="395"/>
      <c r="D47" s="395"/>
      <c r="E47" s="395"/>
      <c r="F47" s="395"/>
      <c r="G47" s="395"/>
      <c r="H47" s="395"/>
    </row>
    <row r="48" spans="1:8" ht="15.75" customHeight="1">
      <c r="A48" s="81" t="s">
        <v>50</v>
      </c>
      <c r="B48" s="82" t="s">
        <v>51</v>
      </c>
      <c r="C48" s="83"/>
      <c r="D48" s="83"/>
      <c r="E48" s="83"/>
      <c r="F48" s="84"/>
      <c r="G48" s="81" t="s">
        <v>52</v>
      </c>
      <c r="H48" s="81" t="s">
        <v>16</v>
      </c>
    </row>
    <row r="49" spans="1:10" ht="15.75" customHeight="1">
      <c r="A49" s="85" t="s">
        <v>1</v>
      </c>
      <c r="B49" s="390" t="s">
        <v>17</v>
      </c>
      <c r="C49" s="391"/>
      <c r="D49" s="391"/>
      <c r="E49" s="391"/>
      <c r="F49" s="392"/>
      <c r="G49" s="86">
        <v>0.2</v>
      </c>
      <c r="H49" s="87">
        <f>($H$38+$H$45)*$G$49</f>
        <v>647.74006565333332</v>
      </c>
      <c r="J49" s="88"/>
    </row>
    <row r="50" spans="1:10" ht="15.75" customHeight="1">
      <c r="A50" s="75" t="s">
        <v>3</v>
      </c>
      <c r="B50" s="390" t="s">
        <v>53</v>
      </c>
      <c r="C50" s="391"/>
      <c r="D50" s="391"/>
      <c r="E50" s="391"/>
      <c r="F50" s="392"/>
      <c r="G50" s="86">
        <v>2.5000000000000001E-2</v>
      </c>
      <c r="H50" s="87">
        <f>($H$38+$H$45)*$G$50</f>
        <v>80.967508206666665</v>
      </c>
    </row>
    <row r="51" spans="1:10" ht="15.75" customHeight="1">
      <c r="A51" s="75" t="s">
        <v>5</v>
      </c>
      <c r="B51" s="89" t="s">
        <v>301</v>
      </c>
      <c r="C51" s="89" t="s">
        <v>54</v>
      </c>
      <c r="D51" s="157">
        <v>0.03</v>
      </c>
      <c r="E51" s="89" t="s">
        <v>55</v>
      </c>
      <c r="F51" s="89">
        <v>1</v>
      </c>
      <c r="G51" s="90">
        <f>D51*F51</f>
        <v>0.03</v>
      </c>
      <c r="H51" s="87">
        <f>($H$38+$H$45)*$G$51</f>
        <v>97.161009847999992</v>
      </c>
      <c r="I51" s="10" t="s">
        <v>237</v>
      </c>
    </row>
    <row r="52" spans="1:10" ht="15.75" customHeight="1">
      <c r="A52" s="75" t="s">
        <v>6</v>
      </c>
      <c r="B52" s="390" t="s">
        <v>56</v>
      </c>
      <c r="C52" s="391"/>
      <c r="D52" s="391"/>
      <c r="E52" s="391"/>
      <c r="F52" s="392"/>
      <c r="G52" s="86">
        <v>1.4999999999999999E-2</v>
      </c>
      <c r="H52" s="87">
        <f>($H$38+$H$45)*$G$52</f>
        <v>48.580504923999996</v>
      </c>
    </row>
    <row r="53" spans="1:10" ht="15.75" customHeight="1">
      <c r="A53" s="75" t="s">
        <v>7</v>
      </c>
      <c r="B53" s="390" t="s">
        <v>57</v>
      </c>
      <c r="C53" s="391"/>
      <c r="D53" s="391"/>
      <c r="E53" s="391"/>
      <c r="F53" s="392"/>
      <c r="G53" s="86">
        <v>0.01</v>
      </c>
      <c r="H53" s="87">
        <f>($H$38+$H$45)*$G$53</f>
        <v>32.387003282666669</v>
      </c>
    </row>
    <row r="54" spans="1:10" ht="15.75" customHeight="1">
      <c r="A54" s="75" t="s">
        <v>8</v>
      </c>
      <c r="B54" s="390" t="s">
        <v>20</v>
      </c>
      <c r="C54" s="391"/>
      <c r="D54" s="391"/>
      <c r="E54" s="391"/>
      <c r="F54" s="392"/>
      <c r="G54" s="86">
        <v>6.0000000000000001E-3</v>
      </c>
      <c r="H54" s="87">
        <f>($H$38+$H$45)*$G$54</f>
        <v>19.432201969599998</v>
      </c>
    </row>
    <row r="55" spans="1:10" ht="15.75" customHeight="1">
      <c r="A55" s="85" t="s">
        <v>9</v>
      </c>
      <c r="B55" s="390" t="s">
        <v>18</v>
      </c>
      <c r="C55" s="391"/>
      <c r="D55" s="391"/>
      <c r="E55" s="391"/>
      <c r="F55" s="392"/>
      <c r="G55" s="86">
        <v>2E-3</v>
      </c>
      <c r="H55" s="87">
        <f>($H$38+$H$45)*$G$55</f>
        <v>6.4774006565333329</v>
      </c>
    </row>
    <row r="56" spans="1:10" ht="15.75" customHeight="1">
      <c r="A56" s="85" t="s">
        <v>58</v>
      </c>
      <c r="B56" s="390" t="s">
        <v>19</v>
      </c>
      <c r="C56" s="391"/>
      <c r="D56" s="391"/>
      <c r="E56" s="391"/>
      <c r="F56" s="392"/>
      <c r="G56" s="91">
        <v>0.08</v>
      </c>
      <c r="H56" s="87">
        <f>($H$38+$H$45)*$G$56</f>
        <v>259.09602626133335</v>
      </c>
    </row>
    <row r="57" spans="1:10" ht="15.75" customHeight="1">
      <c r="A57" s="92" t="s">
        <v>59</v>
      </c>
      <c r="B57" s="70"/>
      <c r="C57" s="71"/>
      <c r="D57" s="71"/>
      <c r="E57" s="71"/>
      <c r="F57" s="72"/>
      <c r="G57" s="93">
        <f>SUM(G49:G56)</f>
        <v>0.36800000000000005</v>
      </c>
      <c r="H57" s="94">
        <f>SUM($H$49:$H$56)</f>
        <v>1191.8417208021333</v>
      </c>
    </row>
    <row r="58" spans="1:10" ht="15.75" customHeight="1">
      <c r="A58" s="191" t="s">
        <v>292</v>
      </c>
      <c r="B58" s="188"/>
      <c r="C58" s="188"/>
      <c r="D58" s="188"/>
      <c r="E58" s="188"/>
      <c r="F58" s="188"/>
      <c r="G58" s="189"/>
      <c r="H58" s="190"/>
    </row>
    <row r="59" spans="1:10" ht="15.75" customHeight="1">
      <c r="A59" s="95"/>
      <c r="B59" s="95"/>
      <c r="C59" s="95"/>
      <c r="D59" s="95"/>
      <c r="E59" s="95"/>
      <c r="F59" s="95"/>
      <c r="G59" s="95"/>
      <c r="H59" s="95"/>
    </row>
    <row r="60" spans="1:10" ht="15.75" customHeight="1">
      <c r="A60" s="411" t="s">
        <v>60</v>
      </c>
      <c r="B60" s="395"/>
      <c r="C60" s="395"/>
      <c r="D60" s="395"/>
      <c r="E60" s="395"/>
      <c r="F60" s="395"/>
      <c r="G60" s="395"/>
      <c r="H60" s="395"/>
    </row>
    <row r="61" spans="1:10" ht="15.75" customHeight="1">
      <c r="A61" s="63" t="s">
        <v>61</v>
      </c>
      <c r="B61" s="393" t="s">
        <v>62</v>
      </c>
      <c r="C61" s="391"/>
      <c r="D61" s="391"/>
      <c r="E61" s="391"/>
      <c r="F61" s="391"/>
      <c r="G61" s="392"/>
      <c r="H61" s="73" t="s">
        <v>12</v>
      </c>
    </row>
    <row r="62" spans="1:10" ht="15.75" customHeight="1">
      <c r="A62" s="75" t="s">
        <v>1</v>
      </c>
      <c r="B62" s="431" t="s">
        <v>314</v>
      </c>
      <c r="C62" s="391"/>
      <c r="D62" s="391"/>
      <c r="E62" s="391"/>
      <c r="F62" s="391"/>
      <c r="G62" s="392"/>
      <c r="H62" s="96">
        <f>C156</f>
        <v>14.313680000000005</v>
      </c>
    </row>
    <row r="63" spans="1:10" ht="15.75" customHeight="1">
      <c r="A63" s="75" t="s">
        <v>3</v>
      </c>
      <c r="B63" s="97" t="s">
        <v>313</v>
      </c>
      <c r="C63" s="98"/>
      <c r="D63" s="98"/>
      <c r="E63" s="98"/>
      <c r="F63" s="99"/>
      <c r="G63" s="100">
        <f>E161</f>
        <v>550</v>
      </c>
      <c r="H63" s="96">
        <f>C167</f>
        <v>489.5</v>
      </c>
    </row>
    <row r="64" spans="1:10" ht="15.75" customHeight="1">
      <c r="A64" s="75" t="s">
        <v>5</v>
      </c>
      <c r="B64" s="432" t="s">
        <v>315</v>
      </c>
      <c r="C64" s="433"/>
      <c r="D64" s="433"/>
      <c r="E64" s="433"/>
      <c r="F64" s="433"/>
      <c r="G64" s="434"/>
      <c r="H64" s="4">
        <f>H38*9%</f>
        <v>262.32947999999999</v>
      </c>
    </row>
    <row r="65" spans="1:13" ht="15.75" customHeight="1">
      <c r="A65" s="75" t="s">
        <v>6</v>
      </c>
      <c r="B65" s="435" t="s">
        <v>316</v>
      </c>
      <c r="C65" s="436"/>
      <c r="D65" s="436"/>
      <c r="E65" s="436"/>
      <c r="F65" s="436"/>
      <c r="G65" s="437"/>
      <c r="H65" s="4">
        <v>4</v>
      </c>
    </row>
    <row r="66" spans="1:13" ht="15.75" customHeight="1">
      <c r="A66" s="75" t="s">
        <v>7</v>
      </c>
      <c r="B66" s="435" t="s">
        <v>324</v>
      </c>
      <c r="C66" s="436"/>
      <c r="D66" s="436"/>
      <c r="E66" s="436"/>
      <c r="F66" s="436"/>
      <c r="G66" s="437"/>
      <c r="H66" s="4">
        <v>16</v>
      </c>
    </row>
    <row r="67" spans="1:13" ht="15.75" customHeight="1">
      <c r="A67" s="75" t="s">
        <v>8</v>
      </c>
      <c r="B67" s="264" t="s">
        <v>325</v>
      </c>
      <c r="C67" s="182"/>
      <c r="D67" s="182"/>
      <c r="E67" s="182"/>
      <c r="F67" s="182"/>
      <c r="G67" s="183"/>
      <c r="H67" s="4">
        <v>72.37</v>
      </c>
    </row>
    <row r="68" spans="1:13" ht="15.75" customHeight="1">
      <c r="A68" s="75" t="s">
        <v>9</v>
      </c>
      <c r="B68" s="181"/>
      <c r="C68" s="182"/>
      <c r="D68" s="182"/>
      <c r="E68" s="182"/>
      <c r="F68" s="182"/>
      <c r="G68" s="183"/>
      <c r="H68" s="4">
        <v>0</v>
      </c>
    </row>
    <row r="69" spans="1:13" ht="15.75" customHeight="1">
      <c r="A69" s="85" t="s">
        <v>58</v>
      </c>
      <c r="B69" s="438" t="s">
        <v>63</v>
      </c>
      <c r="C69" s="391"/>
      <c r="D69" s="391"/>
      <c r="E69" s="391"/>
      <c r="F69" s="391"/>
      <c r="G69" s="392"/>
      <c r="H69" s="101">
        <v>0</v>
      </c>
    </row>
    <row r="70" spans="1:13" ht="15.75" customHeight="1">
      <c r="A70" s="67"/>
      <c r="B70" s="430" t="s">
        <v>48</v>
      </c>
      <c r="C70" s="391"/>
      <c r="D70" s="391"/>
      <c r="E70" s="391"/>
      <c r="F70" s="391"/>
      <c r="G70" s="392"/>
      <c r="H70" s="78">
        <f>SUM(H62:H69)</f>
        <v>858.51315999999997</v>
      </c>
    </row>
    <row r="71" spans="1:13" ht="15.75" customHeight="1">
      <c r="A71" s="102"/>
      <c r="B71" s="103"/>
      <c r="C71" s="103"/>
      <c r="D71" s="103"/>
      <c r="E71" s="103"/>
      <c r="F71" s="103"/>
      <c r="G71" s="103"/>
      <c r="H71" s="104"/>
      <c r="M71" s="88"/>
    </row>
    <row r="72" spans="1:13" ht="15.75" customHeight="1">
      <c r="A72" s="439" t="s">
        <v>64</v>
      </c>
      <c r="B72" s="440"/>
      <c r="C72" s="440"/>
      <c r="D72" s="440"/>
      <c r="E72" s="440"/>
      <c r="F72" s="440"/>
      <c r="G72" s="440"/>
      <c r="H72" s="441"/>
      <c r="I72" s="105"/>
    </row>
    <row r="73" spans="1:13" ht="15.75" customHeight="1">
      <c r="A73" s="73">
        <v>2</v>
      </c>
      <c r="B73" s="393" t="s">
        <v>65</v>
      </c>
      <c r="C73" s="391"/>
      <c r="D73" s="391"/>
      <c r="E73" s="391"/>
      <c r="F73" s="391"/>
      <c r="G73" s="392"/>
      <c r="H73" s="73" t="s">
        <v>12</v>
      </c>
    </row>
    <row r="74" spans="1:13" ht="15.75" customHeight="1">
      <c r="A74" s="75" t="s">
        <v>43</v>
      </c>
      <c r="B74" s="431" t="s">
        <v>66</v>
      </c>
      <c r="C74" s="391"/>
      <c r="D74" s="391"/>
      <c r="E74" s="391"/>
      <c r="F74" s="391"/>
      <c r="G74" s="392"/>
      <c r="H74" s="96">
        <f>$H$45</f>
        <v>323.92832826666665</v>
      </c>
    </row>
    <row r="75" spans="1:13" ht="15.75" customHeight="1">
      <c r="A75" s="75" t="s">
        <v>50</v>
      </c>
      <c r="B75" s="431" t="s">
        <v>51</v>
      </c>
      <c r="C75" s="391"/>
      <c r="D75" s="391"/>
      <c r="E75" s="391"/>
      <c r="F75" s="391"/>
      <c r="G75" s="392"/>
      <c r="H75" s="96">
        <f>$H$57</f>
        <v>1191.8417208021333</v>
      </c>
    </row>
    <row r="76" spans="1:13" ht="15.75" customHeight="1">
      <c r="A76" s="75" t="s">
        <v>61</v>
      </c>
      <c r="B76" s="406" t="s">
        <v>67</v>
      </c>
      <c r="C76" s="391"/>
      <c r="D76" s="391"/>
      <c r="E76" s="391"/>
      <c r="F76" s="391"/>
      <c r="G76" s="392"/>
      <c r="H76" s="96">
        <f>$H$70</f>
        <v>858.51315999999997</v>
      </c>
    </row>
    <row r="77" spans="1:13" ht="15.75" customHeight="1">
      <c r="A77" s="106"/>
      <c r="B77" s="430" t="s">
        <v>68</v>
      </c>
      <c r="C77" s="391"/>
      <c r="D77" s="391"/>
      <c r="E77" s="391"/>
      <c r="F77" s="391"/>
      <c r="G77" s="392"/>
      <c r="H77" s="78">
        <f>SUM(H74:H76)</f>
        <v>2374.2832090687998</v>
      </c>
    </row>
    <row r="78" spans="1:13" ht="15.75" customHeight="1">
      <c r="A78" s="102"/>
      <c r="B78" s="103"/>
      <c r="C78" s="103"/>
      <c r="D78" s="103"/>
      <c r="E78" s="103"/>
      <c r="F78" s="103"/>
      <c r="G78" s="103"/>
      <c r="H78" s="104"/>
    </row>
    <row r="79" spans="1:13" ht="15.75" customHeight="1">
      <c r="A79" s="442" t="s">
        <v>69</v>
      </c>
      <c r="B79" s="443"/>
      <c r="C79" s="443"/>
      <c r="D79" s="443"/>
      <c r="E79" s="443"/>
      <c r="F79" s="443"/>
      <c r="G79" s="443"/>
      <c r="H79" s="444"/>
    </row>
    <row r="80" spans="1:13" ht="15.75" customHeight="1">
      <c r="A80" s="74">
        <v>3</v>
      </c>
      <c r="B80" s="447" t="s">
        <v>70</v>
      </c>
      <c r="C80" s="391"/>
      <c r="D80" s="391"/>
      <c r="E80" s="391"/>
      <c r="F80" s="392"/>
      <c r="G80" s="107" t="s">
        <v>52</v>
      </c>
      <c r="H80" s="74" t="s">
        <v>71</v>
      </c>
      <c r="J80" s="108"/>
    </row>
    <row r="81" spans="1:11" ht="15.75" customHeight="1">
      <c r="A81" s="109" t="s">
        <v>1</v>
      </c>
      <c r="B81" s="110" t="s">
        <v>214</v>
      </c>
      <c r="C81" s="111"/>
      <c r="D81" s="111"/>
      <c r="E81" s="111"/>
      <c r="F81" s="112"/>
      <c r="G81" s="91">
        <f>(5%*(1/12))</f>
        <v>4.1666666666666666E-3</v>
      </c>
      <c r="H81" s="113">
        <f t="shared" ref="H81:H86" si="0">G81*$H$38</f>
        <v>12.144883333333333</v>
      </c>
      <c r="K81" s="108"/>
    </row>
    <row r="82" spans="1:11" ht="15.75" customHeight="1">
      <c r="A82" s="114" t="s">
        <v>3</v>
      </c>
      <c r="B82" s="110" t="s">
        <v>215</v>
      </c>
      <c r="C82" s="111"/>
      <c r="D82" s="111"/>
      <c r="E82" s="111"/>
      <c r="F82" s="112"/>
      <c r="G82" s="91">
        <f>G81*G56</f>
        <v>3.3333333333333332E-4</v>
      </c>
      <c r="H82" s="113">
        <f t="shared" si="0"/>
        <v>0.9715906666666666</v>
      </c>
      <c r="I82" s="88"/>
      <c r="J82" s="115"/>
      <c r="K82" s="88"/>
    </row>
    <row r="83" spans="1:11" ht="15.75" customHeight="1">
      <c r="A83" s="85" t="s">
        <v>5</v>
      </c>
      <c r="B83" s="97" t="s">
        <v>72</v>
      </c>
      <c r="C83" s="98"/>
      <c r="D83" s="98"/>
      <c r="E83" s="98"/>
      <c r="F83" s="99"/>
      <c r="G83" s="91">
        <f>((0.08*0.4*0.9)*(1+0.0833+0.09075+0.03025))</f>
        <v>3.4683840000000001E-2</v>
      </c>
      <c r="H83" s="113">
        <f t="shared" si="0"/>
        <v>101.09548568448</v>
      </c>
      <c r="J83" s="105"/>
    </row>
    <row r="84" spans="1:11" ht="15.75" customHeight="1">
      <c r="A84" s="114" t="s">
        <v>6</v>
      </c>
      <c r="B84" s="110" t="s">
        <v>216</v>
      </c>
      <c r="C84" s="111"/>
      <c r="D84" s="111"/>
      <c r="E84" s="111"/>
      <c r="F84" s="112"/>
      <c r="G84" s="91">
        <f>((1/30)*7)/12</f>
        <v>1.9444444444444445E-2</v>
      </c>
      <c r="H84" s="113">
        <f t="shared" si="0"/>
        <v>56.676122222222219</v>
      </c>
      <c r="J84" s="105"/>
    </row>
    <row r="85" spans="1:11" ht="15.75" customHeight="1">
      <c r="A85" s="116" t="s">
        <v>7</v>
      </c>
      <c r="B85" s="110" t="s">
        <v>217</v>
      </c>
      <c r="C85" s="111"/>
      <c r="D85" s="111"/>
      <c r="E85" s="111"/>
      <c r="F85" s="112"/>
      <c r="G85" s="91">
        <f>(G57*G84)</f>
        <v>7.1555555555555565E-3</v>
      </c>
      <c r="H85" s="113">
        <f t="shared" si="0"/>
        <v>20.856812977777778</v>
      </c>
    </row>
    <row r="86" spans="1:11" ht="15.75" customHeight="1">
      <c r="A86" s="75" t="s">
        <v>8</v>
      </c>
      <c r="B86" s="97" t="s">
        <v>73</v>
      </c>
      <c r="C86" s="98"/>
      <c r="D86" s="98"/>
      <c r="E86" s="98"/>
      <c r="F86" s="99"/>
      <c r="G86" s="91">
        <f>ROUNDUP(((0.08*0.4)*G57)/100,4)</f>
        <v>2.0000000000000001E-4</v>
      </c>
      <c r="H86" s="113">
        <f t="shared" si="0"/>
        <v>0.58295439999999998</v>
      </c>
      <c r="I86" s="88"/>
      <c r="J86" s="88"/>
    </row>
    <row r="87" spans="1:11" ht="15.75" customHeight="1">
      <c r="A87" s="445" t="s">
        <v>59</v>
      </c>
      <c r="B87" s="391"/>
      <c r="C87" s="391"/>
      <c r="D87" s="391"/>
      <c r="E87" s="391"/>
      <c r="F87" s="391"/>
      <c r="G87" s="392"/>
      <c r="H87" s="117">
        <f>TRUNC(SUM(H81:H86),2)</f>
        <v>192.32</v>
      </c>
      <c r="K87" s="88"/>
    </row>
    <row r="88" spans="1:11" ht="39" customHeight="1">
      <c r="A88" s="448" t="s">
        <v>218</v>
      </c>
      <c r="B88" s="449"/>
      <c r="C88" s="449"/>
      <c r="D88" s="449"/>
      <c r="E88" s="449"/>
      <c r="F88" s="449"/>
      <c r="G88" s="449"/>
      <c r="H88" s="449"/>
      <c r="I88" s="118"/>
    </row>
    <row r="89" spans="1:11" ht="21.75" customHeight="1">
      <c r="A89" s="450" t="s">
        <v>74</v>
      </c>
      <c r="B89" s="401"/>
      <c r="C89" s="401"/>
      <c r="D89" s="401"/>
      <c r="E89" s="401"/>
      <c r="F89" s="401"/>
      <c r="G89" s="401"/>
      <c r="H89" s="401"/>
      <c r="I89" s="118"/>
    </row>
    <row r="90" spans="1:11" ht="15.75" customHeight="1">
      <c r="A90" s="102"/>
      <c r="B90" s="103"/>
      <c r="C90" s="103"/>
      <c r="D90" s="103"/>
      <c r="E90" s="103"/>
      <c r="F90" s="103"/>
      <c r="G90" s="103"/>
      <c r="H90" s="104"/>
      <c r="I90" s="118"/>
    </row>
    <row r="91" spans="1:11" ht="15.75" customHeight="1">
      <c r="A91" s="442" t="s">
        <v>75</v>
      </c>
      <c r="B91" s="443"/>
      <c r="C91" s="443"/>
      <c r="D91" s="443"/>
      <c r="E91" s="443"/>
      <c r="F91" s="443"/>
      <c r="G91" s="443"/>
      <c r="H91" s="444"/>
    </row>
    <row r="92" spans="1:11" ht="15.75" customHeight="1">
      <c r="A92" s="451" t="s">
        <v>76</v>
      </c>
      <c r="B92" s="440"/>
      <c r="C92" s="440"/>
      <c r="D92" s="440"/>
      <c r="E92" s="440"/>
      <c r="F92" s="440"/>
      <c r="G92" s="440"/>
      <c r="H92" s="441"/>
    </row>
    <row r="93" spans="1:11" ht="45" customHeight="1">
      <c r="A93" s="74" t="s">
        <v>77</v>
      </c>
      <c r="B93" s="424" t="s">
        <v>78</v>
      </c>
      <c r="C93" s="391"/>
      <c r="D93" s="391"/>
      <c r="E93" s="391"/>
      <c r="F93" s="392"/>
      <c r="G93" s="107" t="s">
        <v>79</v>
      </c>
      <c r="H93" s="74" t="s">
        <v>71</v>
      </c>
      <c r="I93" s="119"/>
    </row>
    <row r="94" spans="1:11" ht="15.75" customHeight="1">
      <c r="A94" s="85" t="s">
        <v>1</v>
      </c>
      <c r="B94" s="390" t="s">
        <v>80</v>
      </c>
      <c r="C94" s="391"/>
      <c r="D94" s="391"/>
      <c r="E94" s="391"/>
      <c r="F94" s="392"/>
      <c r="G94" s="120">
        <v>9.0749999999999997E-2</v>
      </c>
      <c r="H94" s="113">
        <f t="shared" ref="H94:H99" si="1">G94*$H$38</f>
        <v>264.515559</v>
      </c>
      <c r="J94" s="88"/>
    </row>
    <row r="95" spans="1:11" ht="15.75" customHeight="1">
      <c r="A95" s="75" t="s">
        <v>3</v>
      </c>
      <c r="B95" s="390" t="s">
        <v>81</v>
      </c>
      <c r="C95" s="391"/>
      <c r="D95" s="391"/>
      <c r="E95" s="391"/>
      <c r="F95" s="392"/>
      <c r="G95" s="120">
        <v>1.6299999999999999E-2</v>
      </c>
      <c r="H95" s="113">
        <f t="shared" si="1"/>
        <v>47.510783599999996</v>
      </c>
    </row>
    <row r="96" spans="1:11" ht="15.75" customHeight="1">
      <c r="A96" s="85" t="s">
        <v>5</v>
      </c>
      <c r="B96" s="390" t="s">
        <v>82</v>
      </c>
      <c r="C96" s="391"/>
      <c r="D96" s="391"/>
      <c r="E96" s="391"/>
      <c r="F96" s="392"/>
      <c r="G96" s="120">
        <v>2.0000000000000001E-4</v>
      </c>
      <c r="H96" s="113">
        <f t="shared" si="1"/>
        <v>0.58295439999999998</v>
      </c>
    </row>
    <row r="97" spans="1:8" ht="15.75" customHeight="1">
      <c r="A97" s="75" t="s">
        <v>6</v>
      </c>
      <c r="B97" s="390" t="s">
        <v>83</v>
      </c>
      <c r="C97" s="391"/>
      <c r="D97" s="391"/>
      <c r="E97" s="391"/>
      <c r="F97" s="392"/>
      <c r="G97" s="120">
        <v>3.3E-3</v>
      </c>
      <c r="H97" s="113">
        <f t="shared" si="1"/>
        <v>9.618747599999999</v>
      </c>
    </row>
    <row r="98" spans="1:8" ht="15.75" customHeight="1">
      <c r="A98" s="85" t="s">
        <v>7</v>
      </c>
      <c r="B98" s="390" t="s">
        <v>84</v>
      </c>
      <c r="C98" s="391"/>
      <c r="D98" s="391"/>
      <c r="E98" s="391"/>
      <c r="F98" s="392"/>
      <c r="G98" s="120">
        <v>5.5000000000000003E-4</v>
      </c>
      <c r="H98" s="113">
        <f t="shared" si="1"/>
        <v>1.6031246000000001</v>
      </c>
    </row>
    <row r="99" spans="1:8" ht="15.75" customHeight="1">
      <c r="A99" s="75" t="s">
        <v>8</v>
      </c>
      <c r="B99" s="121" t="s">
        <v>85</v>
      </c>
      <c r="C99" s="122"/>
      <c r="D99" s="122"/>
      <c r="E99" s="122"/>
      <c r="F99" s="123"/>
      <c r="G99" s="124">
        <v>0</v>
      </c>
      <c r="H99" s="113">
        <f t="shared" si="1"/>
        <v>0</v>
      </c>
    </row>
    <row r="100" spans="1:8" ht="15.75" customHeight="1">
      <c r="A100" s="445" t="s">
        <v>86</v>
      </c>
      <c r="B100" s="391"/>
      <c r="C100" s="391"/>
      <c r="D100" s="391"/>
      <c r="E100" s="391"/>
      <c r="F100" s="392"/>
      <c r="G100" s="125">
        <f>SUM(G94:G99)</f>
        <v>0.11109999999999999</v>
      </c>
      <c r="H100" s="117">
        <f>SUM(H94:H99)</f>
        <v>323.83116920000003</v>
      </c>
    </row>
    <row r="101" spans="1:8" ht="15.75" customHeight="1">
      <c r="A101" s="85" t="s">
        <v>9</v>
      </c>
      <c r="B101" s="126" t="s">
        <v>87</v>
      </c>
      <c r="C101" s="127"/>
      <c r="D101" s="127"/>
      <c r="E101" s="127"/>
      <c r="F101" s="128"/>
      <c r="G101" s="120">
        <f>SUM(G94:G99)*G57</f>
        <v>4.0884799999999999E-2</v>
      </c>
      <c r="H101" s="113">
        <f>G101*$H$38</f>
        <v>119.1698702656</v>
      </c>
    </row>
    <row r="102" spans="1:8" ht="15.75" customHeight="1">
      <c r="A102" s="445" t="s">
        <v>86</v>
      </c>
      <c r="B102" s="391"/>
      <c r="C102" s="391"/>
      <c r="D102" s="391"/>
      <c r="E102" s="391"/>
      <c r="F102" s="392"/>
      <c r="G102" s="125">
        <f>SUM(G100:G101)</f>
        <v>0.15198479999999998</v>
      </c>
      <c r="H102" s="117">
        <f>SUM(H100:H101)</f>
        <v>443.0010394656</v>
      </c>
    </row>
    <row r="103" spans="1:8" ht="15.75" customHeight="1">
      <c r="A103" s="446" t="s">
        <v>88</v>
      </c>
      <c r="B103" s="391"/>
      <c r="C103" s="391"/>
      <c r="D103" s="391"/>
      <c r="E103" s="391"/>
      <c r="F103" s="391"/>
      <c r="G103" s="392"/>
      <c r="H103" s="129">
        <f>($H$136+$H$137+$H$138)/30</f>
        <v>182.71250696895999</v>
      </c>
    </row>
    <row r="104" spans="1:8" ht="15.75" customHeight="1">
      <c r="A104" s="95"/>
      <c r="B104" s="95"/>
      <c r="C104" s="95"/>
      <c r="D104" s="95"/>
      <c r="E104" s="95"/>
      <c r="F104" s="95"/>
      <c r="G104" s="95"/>
      <c r="H104" s="95"/>
    </row>
    <row r="105" spans="1:8" ht="15.75" customHeight="1">
      <c r="A105" s="439" t="s">
        <v>89</v>
      </c>
      <c r="B105" s="440"/>
      <c r="C105" s="440"/>
      <c r="D105" s="440"/>
      <c r="E105" s="440"/>
      <c r="F105" s="440"/>
      <c r="G105" s="440"/>
      <c r="H105" s="441"/>
    </row>
    <row r="106" spans="1:8" ht="15.75" customHeight="1">
      <c r="A106" s="73">
        <v>4</v>
      </c>
      <c r="B106" s="393" t="s">
        <v>65</v>
      </c>
      <c r="C106" s="391"/>
      <c r="D106" s="391"/>
      <c r="E106" s="391"/>
      <c r="F106" s="391"/>
      <c r="G106" s="392"/>
      <c r="H106" s="73" t="s">
        <v>12</v>
      </c>
    </row>
    <row r="107" spans="1:8" ht="15.75" customHeight="1">
      <c r="A107" s="75" t="s">
        <v>77</v>
      </c>
      <c r="B107" s="431" t="s">
        <v>90</v>
      </c>
      <c r="C107" s="391"/>
      <c r="D107" s="391"/>
      <c r="E107" s="391"/>
      <c r="F107" s="391"/>
      <c r="G107" s="392"/>
      <c r="H107" s="96">
        <f>$H$102</f>
        <v>443.0010394656</v>
      </c>
    </row>
    <row r="108" spans="1:8" ht="15.75" customHeight="1">
      <c r="A108" s="106"/>
      <c r="B108" s="430" t="s">
        <v>68</v>
      </c>
      <c r="C108" s="391"/>
      <c r="D108" s="391"/>
      <c r="E108" s="391"/>
      <c r="F108" s="391"/>
      <c r="G108" s="392"/>
      <c r="H108" s="130">
        <f>SUM(H107)</f>
        <v>443.0010394656</v>
      </c>
    </row>
    <row r="109" spans="1:8" ht="15.75" customHeight="1">
      <c r="A109" s="95"/>
      <c r="B109" s="95"/>
      <c r="C109" s="95"/>
      <c r="D109" s="95"/>
      <c r="E109" s="95"/>
      <c r="F109" s="95"/>
      <c r="G109" s="95"/>
      <c r="H109" s="95"/>
    </row>
    <row r="110" spans="1:8" ht="15.75" customHeight="1">
      <c r="A110" s="405" t="s">
        <v>91</v>
      </c>
      <c r="B110" s="401"/>
      <c r="C110" s="401"/>
      <c r="D110" s="401"/>
      <c r="E110" s="401"/>
      <c r="F110" s="401"/>
      <c r="G110" s="401"/>
      <c r="H110" s="401"/>
    </row>
    <row r="111" spans="1:8" ht="15.75" customHeight="1">
      <c r="A111" s="73">
        <v>5</v>
      </c>
      <c r="B111" s="393" t="s">
        <v>92</v>
      </c>
      <c r="C111" s="391"/>
      <c r="D111" s="391"/>
      <c r="E111" s="391"/>
      <c r="F111" s="391"/>
      <c r="G111" s="392"/>
      <c r="H111" s="73" t="s">
        <v>12</v>
      </c>
    </row>
    <row r="112" spans="1:8" ht="15.75" customHeight="1">
      <c r="A112" s="75" t="s">
        <v>1</v>
      </c>
      <c r="B112" s="431" t="s">
        <v>93</v>
      </c>
      <c r="C112" s="391"/>
      <c r="D112" s="391"/>
      <c r="E112" s="391"/>
      <c r="F112" s="391"/>
      <c r="G112" s="392"/>
      <c r="H112" s="96">
        <f>'Insumos DIV UNIFORME SERVENTE'!J21</f>
        <v>36.805833333333332</v>
      </c>
    </row>
    <row r="113" spans="1:8" ht="15.75" customHeight="1">
      <c r="A113" s="114" t="s">
        <v>3</v>
      </c>
      <c r="B113" s="410" t="s">
        <v>220</v>
      </c>
      <c r="C113" s="391"/>
      <c r="D113" s="391"/>
      <c r="E113" s="391"/>
      <c r="F113" s="391"/>
      <c r="G113" s="392"/>
      <c r="H113" s="131">
        <f>'Insumos Diversos SERVENTE Sede'!K23</f>
        <v>103.06780555555555</v>
      </c>
    </row>
    <row r="114" spans="1:8" ht="15.75" customHeight="1">
      <c r="A114" s="114" t="s">
        <v>5</v>
      </c>
      <c r="B114" s="410" t="s">
        <v>219</v>
      </c>
      <c r="C114" s="391"/>
      <c r="D114" s="391"/>
      <c r="E114" s="391"/>
      <c r="F114" s="391"/>
      <c r="G114" s="392"/>
      <c r="H114" s="131">
        <v>0</v>
      </c>
    </row>
    <row r="115" spans="1:8" ht="15.75" customHeight="1">
      <c r="A115" s="75" t="s">
        <v>6</v>
      </c>
      <c r="B115" s="526" t="s">
        <v>94</v>
      </c>
      <c r="C115" s="527"/>
      <c r="D115" s="527"/>
      <c r="E115" s="527"/>
      <c r="F115" s="527"/>
      <c r="G115" s="528"/>
      <c r="H115" s="283">
        <v>0</v>
      </c>
    </row>
    <row r="116" spans="1:8" ht="15.75" customHeight="1">
      <c r="A116" s="106"/>
      <c r="B116" s="430" t="s">
        <v>68</v>
      </c>
      <c r="C116" s="391"/>
      <c r="D116" s="391"/>
      <c r="E116" s="391"/>
      <c r="F116" s="391"/>
      <c r="G116" s="392"/>
      <c r="H116" s="78">
        <f>SUM(H112:H115)</f>
        <v>139.87363888888888</v>
      </c>
    </row>
    <row r="117" spans="1:8" ht="32.25" customHeight="1">
      <c r="A117" s="448" t="s">
        <v>221</v>
      </c>
      <c r="B117" s="449"/>
      <c r="C117" s="449"/>
      <c r="D117" s="449"/>
      <c r="E117" s="449"/>
      <c r="F117" s="449"/>
      <c r="G117" s="449"/>
      <c r="H117" s="449"/>
    </row>
    <row r="118" spans="1:8" ht="15.75" customHeight="1">
      <c r="A118" s="132"/>
      <c r="B118" s="132"/>
      <c r="C118" s="132"/>
      <c r="D118" s="132"/>
      <c r="E118" s="132"/>
      <c r="F118" s="132"/>
      <c r="G118" s="132"/>
      <c r="H118" s="132"/>
    </row>
    <row r="119" spans="1:8" ht="15.75" customHeight="1">
      <c r="A119" s="442" t="s">
        <v>95</v>
      </c>
      <c r="B119" s="443"/>
      <c r="C119" s="443"/>
      <c r="D119" s="443"/>
      <c r="E119" s="443"/>
      <c r="F119" s="443"/>
      <c r="G119" s="443"/>
      <c r="H119" s="444"/>
    </row>
    <row r="120" spans="1:8" ht="15.75" customHeight="1">
      <c r="A120" s="73">
        <v>6</v>
      </c>
      <c r="B120" s="447" t="s">
        <v>96</v>
      </c>
      <c r="C120" s="391"/>
      <c r="D120" s="391"/>
      <c r="E120" s="391"/>
      <c r="F120" s="392"/>
      <c r="G120" s="81" t="s">
        <v>52</v>
      </c>
      <c r="H120" s="73" t="s">
        <v>25</v>
      </c>
    </row>
    <row r="121" spans="1:8" ht="15.75" customHeight="1">
      <c r="A121" s="21" t="s">
        <v>1</v>
      </c>
      <c r="B121" s="475" t="s">
        <v>222</v>
      </c>
      <c r="C121" s="391"/>
      <c r="D121" s="391"/>
      <c r="E121" s="391"/>
      <c r="F121" s="392"/>
      <c r="G121" s="285">
        <v>0.05</v>
      </c>
      <c r="H121" s="134">
        <f>$H$141*$G$121</f>
        <v>303.21249437116444</v>
      </c>
    </row>
    <row r="122" spans="1:8" ht="15.75" customHeight="1">
      <c r="A122" s="21" t="s">
        <v>3</v>
      </c>
      <c r="B122" s="475" t="s">
        <v>21</v>
      </c>
      <c r="C122" s="391"/>
      <c r="D122" s="391"/>
      <c r="E122" s="391"/>
      <c r="F122" s="392"/>
      <c r="G122" s="286">
        <v>0.1</v>
      </c>
      <c r="H122" s="134">
        <f>($H$141+$H$121)*$G$122</f>
        <v>636.7462381794453</v>
      </c>
    </row>
    <row r="123" spans="1:8" ht="15.75" customHeight="1">
      <c r="A123" s="21" t="s">
        <v>5</v>
      </c>
      <c r="B123" s="481" t="s">
        <v>22</v>
      </c>
      <c r="C123" s="391"/>
      <c r="D123" s="391"/>
      <c r="E123" s="391"/>
      <c r="F123" s="391"/>
      <c r="G123" s="391"/>
      <c r="H123" s="392"/>
    </row>
    <row r="124" spans="1:8" ht="15.75" customHeight="1">
      <c r="A124" s="136"/>
      <c r="B124" s="137" t="s">
        <v>97</v>
      </c>
      <c r="C124" s="138"/>
      <c r="D124" s="138"/>
      <c r="E124" s="138"/>
      <c r="F124" s="138"/>
      <c r="G124" s="22"/>
      <c r="H124" s="23"/>
    </row>
    <row r="125" spans="1:8" ht="15.75" customHeight="1">
      <c r="A125" s="75"/>
      <c r="B125" s="475" t="s">
        <v>24</v>
      </c>
      <c r="C125" s="391"/>
      <c r="D125" s="391"/>
      <c r="E125" s="391"/>
      <c r="F125" s="392"/>
      <c r="G125" s="139">
        <v>1.6500000000000001E-2</v>
      </c>
      <c r="H125" s="134">
        <f>($H$141+$H$121+$H$122)*$G$125/(1-$G$132)</f>
        <v>134.77485974293802</v>
      </c>
    </row>
    <row r="126" spans="1:8" ht="15.75" customHeight="1">
      <c r="A126" s="75"/>
      <c r="B126" s="475" t="s">
        <v>23</v>
      </c>
      <c r="C126" s="391"/>
      <c r="D126" s="391"/>
      <c r="E126" s="391"/>
      <c r="F126" s="392"/>
      <c r="G126" s="139">
        <v>7.5999999999999998E-2</v>
      </c>
      <c r="H126" s="134">
        <f>($H$141+$H$121+$H$122)*$G$126/(1-$G$132)</f>
        <v>620.78117214929023</v>
      </c>
    </row>
    <row r="127" spans="1:8" ht="15.75" customHeight="1">
      <c r="A127" s="75"/>
      <c r="B127" s="475" t="s">
        <v>98</v>
      </c>
      <c r="C127" s="391"/>
      <c r="D127" s="391"/>
      <c r="E127" s="391"/>
      <c r="F127" s="392"/>
      <c r="G127" s="139"/>
      <c r="H127" s="134">
        <f>(($H$141-$H$140)+$H$121+$H$122)*$G$127/(1-$G$132)</f>
        <v>0</v>
      </c>
    </row>
    <row r="128" spans="1:8" ht="15.75" customHeight="1">
      <c r="A128" s="136"/>
      <c r="B128" s="476" t="s">
        <v>99</v>
      </c>
      <c r="C128" s="391"/>
      <c r="D128" s="391"/>
      <c r="E128" s="391"/>
      <c r="F128" s="477"/>
      <c r="G128" s="140"/>
      <c r="H128" s="141"/>
    </row>
    <row r="129" spans="1:12" ht="15.75" customHeight="1">
      <c r="A129" s="75"/>
      <c r="B129" s="475" t="s">
        <v>100</v>
      </c>
      <c r="C129" s="391"/>
      <c r="D129" s="391"/>
      <c r="E129" s="391"/>
      <c r="F129" s="392"/>
      <c r="G129" s="139">
        <v>0.05</v>
      </c>
      <c r="H129" s="134">
        <f>($H$141+$H$121+$H$122)*$G$129/(1-$G$132)</f>
        <v>408.40866588769097</v>
      </c>
    </row>
    <row r="130" spans="1:12" ht="15.75" customHeight="1">
      <c r="A130" s="142"/>
      <c r="B130" s="137" t="s">
        <v>101</v>
      </c>
      <c r="C130" s="138"/>
      <c r="D130" s="138"/>
      <c r="E130" s="138"/>
      <c r="F130" s="138"/>
      <c r="G130" s="140"/>
      <c r="H130" s="141"/>
    </row>
    <row r="131" spans="1:12" ht="15.75" customHeight="1">
      <c r="A131" s="75"/>
      <c r="B131" s="476" t="s">
        <v>102</v>
      </c>
      <c r="C131" s="391"/>
      <c r="D131" s="391"/>
      <c r="E131" s="391"/>
      <c r="F131" s="477"/>
      <c r="G131" s="139"/>
      <c r="H131" s="134">
        <f>($H$141+$H$121+$H$122)*$G$131/(1-$G$132)</f>
        <v>0</v>
      </c>
    </row>
    <row r="132" spans="1:12" ht="15.75" customHeight="1">
      <c r="A132" s="445" t="s">
        <v>103</v>
      </c>
      <c r="B132" s="477"/>
      <c r="C132" s="143"/>
      <c r="D132" s="143"/>
      <c r="E132" s="143"/>
      <c r="F132" s="143"/>
      <c r="G132" s="93">
        <f>$G$125+$G$126+$G$127+$G$129+$G$131</f>
        <v>0.14250000000000002</v>
      </c>
      <c r="H132" s="117">
        <f>H121+H122+H125+H126+H127+H129+H131</f>
        <v>2103.9234303305288</v>
      </c>
    </row>
    <row r="133" spans="1:12" ht="15.75" customHeight="1">
      <c r="A133" s="474"/>
      <c r="B133" s="474"/>
      <c r="C133" s="474"/>
      <c r="D133" s="474"/>
      <c r="E133" s="474"/>
      <c r="F133" s="474"/>
      <c r="G133" s="474"/>
      <c r="H133" s="474"/>
    </row>
    <row r="134" spans="1:12" ht="15.75" customHeight="1">
      <c r="A134" s="411" t="s">
        <v>104</v>
      </c>
      <c r="B134" s="395"/>
      <c r="C134" s="395"/>
      <c r="D134" s="395"/>
      <c r="E134" s="395"/>
      <c r="F134" s="395"/>
      <c r="G134" s="395"/>
      <c r="H134" s="395"/>
    </row>
    <row r="135" spans="1:12" ht="15.75" customHeight="1">
      <c r="A135" s="430" t="s">
        <v>105</v>
      </c>
      <c r="B135" s="391"/>
      <c r="C135" s="391"/>
      <c r="D135" s="391"/>
      <c r="E135" s="391"/>
      <c r="F135" s="391"/>
      <c r="G135" s="392"/>
      <c r="H135" s="73" t="s">
        <v>25</v>
      </c>
    </row>
    <row r="136" spans="1:12" ht="15.75" customHeight="1">
      <c r="A136" s="12" t="s">
        <v>1</v>
      </c>
      <c r="B136" s="406" t="s">
        <v>106</v>
      </c>
      <c r="C136" s="391"/>
      <c r="D136" s="391"/>
      <c r="E136" s="391"/>
      <c r="F136" s="391"/>
      <c r="G136" s="392"/>
      <c r="H136" s="144">
        <f>$H$38</f>
        <v>2914.7719999999999</v>
      </c>
    </row>
    <row r="137" spans="1:12" ht="15.75" customHeight="1">
      <c r="A137" s="12" t="s">
        <v>3</v>
      </c>
      <c r="B137" s="406" t="s">
        <v>107</v>
      </c>
      <c r="C137" s="391"/>
      <c r="D137" s="391"/>
      <c r="E137" s="391"/>
      <c r="F137" s="391"/>
      <c r="G137" s="392"/>
      <c r="H137" s="144">
        <f>$H$77</f>
        <v>2374.2832090687998</v>
      </c>
    </row>
    <row r="138" spans="1:12" ht="15.75" customHeight="1">
      <c r="A138" s="12" t="s">
        <v>5</v>
      </c>
      <c r="B138" s="406" t="s">
        <v>108</v>
      </c>
      <c r="C138" s="391"/>
      <c r="D138" s="391"/>
      <c r="E138" s="391"/>
      <c r="F138" s="391"/>
      <c r="G138" s="392"/>
      <c r="H138" s="144">
        <f>$H$87</f>
        <v>192.32</v>
      </c>
    </row>
    <row r="139" spans="1:12" ht="15.75" customHeight="1">
      <c r="A139" s="12" t="s">
        <v>6</v>
      </c>
      <c r="B139" s="406" t="s">
        <v>75</v>
      </c>
      <c r="C139" s="391"/>
      <c r="D139" s="391"/>
      <c r="E139" s="391"/>
      <c r="F139" s="391"/>
      <c r="G139" s="392"/>
      <c r="H139" s="144">
        <f>$H$108</f>
        <v>443.0010394656</v>
      </c>
    </row>
    <row r="140" spans="1:12" ht="15.75" customHeight="1">
      <c r="A140" s="12" t="s">
        <v>109</v>
      </c>
      <c r="B140" s="406" t="s">
        <v>110</v>
      </c>
      <c r="C140" s="391"/>
      <c r="D140" s="391"/>
      <c r="E140" s="391"/>
      <c r="F140" s="391"/>
      <c r="G140" s="392"/>
      <c r="H140" s="144">
        <f>$H$116</f>
        <v>139.87363888888888</v>
      </c>
    </row>
    <row r="141" spans="1:12" ht="15.75" customHeight="1">
      <c r="A141" s="470" t="s">
        <v>111</v>
      </c>
      <c r="B141" s="391"/>
      <c r="C141" s="391"/>
      <c r="D141" s="391"/>
      <c r="E141" s="391"/>
      <c r="F141" s="391"/>
      <c r="G141" s="392"/>
      <c r="H141" s="145">
        <f>SUM(H136:H140)</f>
        <v>6064.2498874232888</v>
      </c>
    </row>
    <row r="142" spans="1:12" ht="15.75" customHeight="1">
      <c r="A142" s="146" t="s">
        <v>8</v>
      </c>
      <c r="B142" s="471" t="s">
        <v>112</v>
      </c>
      <c r="C142" s="391"/>
      <c r="D142" s="391"/>
      <c r="E142" s="391"/>
      <c r="F142" s="391"/>
      <c r="G142" s="392"/>
      <c r="H142" s="147">
        <f>$H$132</f>
        <v>2103.9234303305288</v>
      </c>
      <c r="J142" s="148"/>
    </row>
    <row r="143" spans="1:12" ht="15.75" customHeight="1">
      <c r="A143" s="149"/>
      <c r="B143" s="430" t="s">
        <v>113</v>
      </c>
      <c r="C143" s="391"/>
      <c r="D143" s="391"/>
      <c r="E143" s="391"/>
      <c r="F143" s="391"/>
      <c r="G143" s="392"/>
      <c r="H143" s="150">
        <f>ROUND($H$141+$H$142,2)</f>
        <v>8168.17</v>
      </c>
      <c r="L143" s="148"/>
    </row>
    <row r="144" spans="1:12" ht="15.75" customHeight="1">
      <c r="A144" s="472" t="s">
        <v>114</v>
      </c>
      <c r="B144" s="391"/>
      <c r="C144" s="391"/>
      <c r="D144" s="391"/>
      <c r="E144" s="391"/>
      <c r="F144" s="391"/>
      <c r="G144" s="392"/>
      <c r="H144" s="151">
        <f>$H$143/$H$38</f>
        <v>2.802335825923949</v>
      </c>
      <c r="K144" s="148"/>
    </row>
    <row r="145" spans="1:12" ht="15.75" customHeight="1">
      <c r="A145" s="95"/>
      <c r="B145" s="95"/>
      <c r="C145" s="95"/>
      <c r="D145" s="95"/>
      <c r="E145" s="95"/>
      <c r="F145" s="95"/>
      <c r="G145" s="95"/>
      <c r="H145" s="95"/>
      <c r="J145" s="148"/>
      <c r="K145" s="148"/>
    </row>
    <row r="146" spans="1:12" ht="15.75" customHeight="1"/>
    <row r="147" spans="1:12" ht="16.5" customHeight="1">
      <c r="A147" s="473" t="s">
        <v>115</v>
      </c>
      <c r="B147" s="391"/>
      <c r="C147" s="391"/>
      <c r="D147" s="391"/>
      <c r="E147" s="391"/>
      <c r="F147" s="392"/>
      <c r="G147" s="24"/>
      <c r="H147" s="24"/>
      <c r="I147" s="24"/>
      <c r="J147" s="24"/>
      <c r="K147" s="24"/>
      <c r="L147" s="24"/>
    </row>
    <row r="148" spans="1:12" ht="15" customHeight="1">
      <c r="A148" s="469" t="s">
        <v>210</v>
      </c>
      <c r="B148" s="467"/>
      <c r="C148" s="467"/>
      <c r="D148" s="467"/>
      <c r="E148" s="467"/>
      <c r="F148" s="468"/>
      <c r="G148" s="25"/>
      <c r="H148" s="25"/>
    </row>
    <row r="149" spans="1:12" ht="15.75" customHeight="1">
      <c r="A149" s="36" t="s">
        <v>116</v>
      </c>
      <c r="B149" s="26" t="s">
        <v>117</v>
      </c>
      <c r="C149" s="461" t="s">
        <v>118</v>
      </c>
      <c r="D149" s="459"/>
      <c r="E149" s="461" t="s">
        <v>86</v>
      </c>
      <c r="F149" s="454"/>
      <c r="H149" s="27"/>
    </row>
    <row r="150" spans="1:12" ht="15.75" customHeight="1">
      <c r="A150" s="28">
        <v>2</v>
      </c>
      <c r="B150" s="29">
        <v>4.3</v>
      </c>
      <c r="C150" s="458">
        <f>2*22</f>
        <v>44</v>
      </c>
      <c r="D150" s="459"/>
      <c r="E150" s="460">
        <f>B150*C150</f>
        <v>189.2</v>
      </c>
      <c r="F150" s="454"/>
      <c r="G150" s="30"/>
      <c r="H150" s="31"/>
    </row>
    <row r="151" spans="1:12" ht="15.75" customHeight="1">
      <c r="A151" s="32"/>
      <c r="B151" s="33"/>
      <c r="C151" s="33"/>
      <c r="D151" s="33"/>
      <c r="E151" s="33"/>
      <c r="F151" s="34"/>
      <c r="G151" s="35"/>
      <c r="H151" s="35"/>
    </row>
    <row r="152" spans="1:12" ht="15.75" customHeight="1">
      <c r="A152" s="36" t="s">
        <v>15</v>
      </c>
      <c r="B152" s="26" t="s">
        <v>119</v>
      </c>
      <c r="C152" s="461" t="s">
        <v>86</v>
      </c>
      <c r="D152" s="453"/>
      <c r="E152" s="453"/>
      <c r="F152" s="454"/>
      <c r="G152" s="27"/>
      <c r="H152" s="35"/>
    </row>
    <row r="153" spans="1:12" ht="15.75" customHeight="1">
      <c r="A153" s="37">
        <v>6</v>
      </c>
      <c r="B153" s="38">
        <f>H38</f>
        <v>2914.7719999999999</v>
      </c>
      <c r="C153" s="452">
        <f>B153*A153/100</f>
        <v>174.88631999999998</v>
      </c>
      <c r="D153" s="453"/>
      <c r="E153" s="453"/>
      <c r="F153" s="454"/>
      <c r="G153" s="39"/>
      <c r="H153" s="35"/>
    </row>
    <row r="154" spans="1:12" ht="15.75" customHeight="1">
      <c r="A154" s="32"/>
      <c r="B154" s="33"/>
      <c r="C154" s="33"/>
      <c r="D154" s="33"/>
      <c r="E154" s="33"/>
      <c r="F154" s="34"/>
      <c r="G154" s="35"/>
      <c r="H154" s="35"/>
    </row>
    <row r="155" spans="1:12" ht="16.5" customHeight="1" thickBot="1">
      <c r="A155" s="462" t="s">
        <v>120</v>
      </c>
      <c r="B155" s="463"/>
      <c r="C155" s="463"/>
      <c r="D155" s="463"/>
      <c r="E155" s="463"/>
      <c r="F155" s="464"/>
      <c r="G155" s="40"/>
      <c r="H155" s="35"/>
    </row>
    <row r="156" spans="1:12" ht="15.75" customHeight="1" thickBot="1">
      <c r="A156" s="41">
        <f>E150</f>
        <v>189.2</v>
      </c>
      <c r="B156" s="42">
        <f>C153</f>
        <v>174.88631999999998</v>
      </c>
      <c r="C156" s="465">
        <f>A156-B156</f>
        <v>14.313680000000005</v>
      </c>
      <c r="D156" s="397"/>
      <c r="E156" s="397"/>
      <c r="F156" s="398"/>
      <c r="G156" s="31"/>
      <c r="H156" s="43"/>
    </row>
    <row r="157" spans="1:12" ht="15.75" customHeight="1"/>
    <row r="158" spans="1:12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5.75" customHeight="1">
      <c r="A159" s="466" t="s">
        <v>211</v>
      </c>
      <c r="B159" s="467"/>
      <c r="C159" s="467"/>
      <c r="D159" s="467"/>
      <c r="E159" s="467"/>
      <c r="F159" s="468"/>
      <c r="G159" s="40"/>
      <c r="H159" s="40"/>
    </row>
    <row r="160" spans="1:12" ht="15.75" customHeight="1">
      <c r="A160" s="36" t="s">
        <v>116</v>
      </c>
      <c r="B160" s="26" t="s">
        <v>117</v>
      </c>
      <c r="C160" s="461" t="s">
        <v>118</v>
      </c>
      <c r="D160" s="459"/>
      <c r="E160" s="461" t="s">
        <v>121</v>
      </c>
      <c r="F160" s="454"/>
    </row>
    <row r="161" spans="1:8" ht="15.75" customHeight="1">
      <c r="A161" s="37">
        <v>1</v>
      </c>
      <c r="B161" s="44">
        <f>25*22</f>
        <v>550</v>
      </c>
      <c r="C161" s="458">
        <v>1</v>
      </c>
      <c r="D161" s="459"/>
      <c r="E161" s="460">
        <f>A161*B161*C161</f>
        <v>550</v>
      </c>
      <c r="F161" s="454"/>
      <c r="G161" s="27"/>
      <c r="H161" s="39"/>
    </row>
    <row r="162" spans="1:8" ht="15.75" customHeight="1">
      <c r="A162" s="32"/>
      <c r="B162" s="33">
        <f>25*22</f>
        <v>550</v>
      </c>
      <c r="C162" s="33"/>
      <c r="D162" s="33"/>
      <c r="E162" s="33"/>
      <c r="F162" s="34"/>
      <c r="G162" s="35"/>
      <c r="H162" s="35"/>
    </row>
    <row r="163" spans="1:8" ht="15.75" customHeight="1">
      <c r="A163" s="36" t="s">
        <v>15</v>
      </c>
      <c r="B163" s="243" t="s">
        <v>317</v>
      </c>
      <c r="C163" s="461" t="s">
        <v>86</v>
      </c>
      <c r="D163" s="453"/>
      <c r="E163" s="453"/>
      <c r="F163" s="454"/>
      <c r="H163" s="35"/>
    </row>
    <row r="164" spans="1:8" ht="15.75" customHeight="1">
      <c r="A164" s="37">
        <v>11</v>
      </c>
      <c r="B164" s="38">
        <f>E161</f>
        <v>550</v>
      </c>
      <c r="C164" s="452">
        <f>B164*A164/100</f>
        <v>60.5</v>
      </c>
      <c r="D164" s="453"/>
      <c r="E164" s="453"/>
      <c r="F164" s="454"/>
      <c r="G164" s="39"/>
      <c r="H164" s="35"/>
    </row>
    <row r="165" spans="1:8" ht="15.75" customHeight="1">
      <c r="A165" s="32"/>
      <c r="B165" s="33"/>
      <c r="C165" s="33"/>
      <c r="D165" s="33"/>
      <c r="E165" s="33"/>
      <c r="F165" s="34"/>
      <c r="G165" s="35"/>
      <c r="H165" s="35"/>
    </row>
    <row r="166" spans="1:8" ht="15.75" customHeight="1" thickBot="1">
      <c r="A166" s="455" t="s">
        <v>122</v>
      </c>
      <c r="B166" s="443"/>
      <c r="C166" s="443"/>
      <c r="D166" s="443"/>
      <c r="E166" s="443"/>
      <c r="F166" s="456"/>
      <c r="G166" s="40"/>
      <c r="H166" s="40"/>
    </row>
    <row r="167" spans="1:8" ht="16.5" customHeight="1" thickBot="1">
      <c r="A167" s="41">
        <f>E161</f>
        <v>550</v>
      </c>
      <c r="B167" s="45">
        <f>C164</f>
        <v>60.5</v>
      </c>
      <c r="C167" s="457">
        <f>A167-B167</f>
        <v>489.5</v>
      </c>
      <c r="D167" s="397"/>
      <c r="E167" s="397"/>
      <c r="F167" s="398"/>
      <c r="G167" s="39"/>
      <c r="H167" s="43"/>
    </row>
    <row r="168" spans="1:8" ht="15.75" customHeight="1"/>
    <row r="169" spans="1:8" ht="15.75" customHeight="1"/>
    <row r="170" spans="1:8" ht="15.75" customHeight="1">
      <c r="D170" s="263" t="s">
        <v>400</v>
      </c>
    </row>
    <row r="171" spans="1:8" ht="15.75" customHeight="1"/>
    <row r="172" spans="1:8" ht="15.75" customHeight="1"/>
    <row r="173" spans="1:8" ht="15.75" customHeight="1">
      <c r="B173" s="485" t="s">
        <v>294</v>
      </c>
      <c r="C173" s="485"/>
    </row>
    <row r="174" spans="1:8" ht="15.75" customHeight="1">
      <c r="B174" s="486" t="s">
        <v>295</v>
      </c>
      <c r="C174" s="486"/>
    </row>
    <row r="175" spans="1:8" ht="15.75" customHeight="1"/>
    <row r="176" spans="1:8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28">
    <mergeCell ref="B173:C173"/>
    <mergeCell ref="B174:C174"/>
    <mergeCell ref="C164:F164"/>
    <mergeCell ref="A166:F166"/>
    <mergeCell ref="C167:F167"/>
    <mergeCell ref="A159:F159"/>
    <mergeCell ref="C160:D160"/>
    <mergeCell ref="E160:F160"/>
    <mergeCell ref="C161:D161"/>
    <mergeCell ref="E161:F161"/>
    <mergeCell ref="C163:F163"/>
    <mergeCell ref="C150:D150"/>
    <mergeCell ref="E150:F150"/>
    <mergeCell ref="C152:F152"/>
    <mergeCell ref="C153:F153"/>
    <mergeCell ref="A155:F155"/>
    <mergeCell ref="C156:F156"/>
    <mergeCell ref="B142:G142"/>
    <mergeCell ref="B143:G143"/>
    <mergeCell ref="A144:G144"/>
    <mergeCell ref="A147:F147"/>
    <mergeCell ref="A148:F148"/>
    <mergeCell ref="C149:D149"/>
    <mergeCell ref="E149:F149"/>
    <mergeCell ref="B136:G136"/>
    <mergeCell ref="B137:G137"/>
    <mergeCell ref="B138:G138"/>
    <mergeCell ref="B139:G139"/>
    <mergeCell ref="B140:G140"/>
    <mergeCell ref="A141:G141"/>
    <mergeCell ref="B128:F128"/>
    <mergeCell ref="B129:F129"/>
    <mergeCell ref="B131:F131"/>
    <mergeCell ref="A132:B132"/>
    <mergeCell ref="A134:H134"/>
    <mergeCell ref="A135:G135"/>
    <mergeCell ref="A133:H133"/>
    <mergeCell ref="B121:F121"/>
    <mergeCell ref="B122:F122"/>
    <mergeCell ref="B123:H123"/>
    <mergeCell ref="B125:F125"/>
    <mergeCell ref="B126:F126"/>
    <mergeCell ref="B127:F127"/>
    <mergeCell ref="B114:G114"/>
    <mergeCell ref="B115:G115"/>
    <mergeCell ref="B116:G116"/>
    <mergeCell ref="A117:H117"/>
    <mergeCell ref="A119:H119"/>
    <mergeCell ref="B120:F120"/>
    <mergeCell ref="B107:G107"/>
    <mergeCell ref="B108:G108"/>
    <mergeCell ref="A110:H110"/>
    <mergeCell ref="B111:G111"/>
    <mergeCell ref="B112:G112"/>
    <mergeCell ref="B113:G113"/>
    <mergeCell ref="B98:F98"/>
    <mergeCell ref="A100:F100"/>
    <mergeCell ref="A102:F102"/>
    <mergeCell ref="A103:G103"/>
    <mergeCell ref="A105:H105"/>
    <mergeCell ref="B106:G106"/>
    <mergeCell ref="A92:H92"/>
    <mergeCell ref="B93:F93"/>
    <mergeCell ref="B94:F94"/>
    <mergeCell ref="B95:F95"/>
    <mergeCell ref="B96:F96"/>
    <mergeCell ref="B97:F97"/>
    <mergeCell ref="A79:H79"/>
    <mergeCell ref="B80:F80"/>
    <mergeCell ref="A87:G87"/>
    <mergeCell ref="A88:H88"/>
    <mergeCell ref="A89:H89"/>
    <mergeCell ref="A91:H91"/>
    <mergeCell ref="A72:H72"/>
    <mergeCell ref="B73:G73"/>
    <mergeCell ref="B74:G74"/>
    <mergeCell ref="B75:G75"/>
    <mergeCell ref="B76:G76"/>
    <mergeCell ref="B77:G77"/>
    <mergeCell ref="B62:G62"/>
    <mergeCell ref="B64:G64"/>
    <mergeCell ref="B65:G65"/>
    <mergeCell ref="B66:G66"/>
    <mergeCell ref="B69:G69"/>
    <mergeCell ref="B70:G70"/>
    <mergeCell ref="B53:F53"/>
    <mergeCell ref="B54:F54"/>
    <mergeCell ref="B55:F55"/>
    <mergeCell ref="B56:F56"/>
    <mergeCell ref="A60:H60"/>
    <mergeCell ref="B61:G61"/>
    <mergeCell ref="B44:F44"/>
    <mergeCell ref="B45:G45"/>
    <mergeCell ref="A47:H47"/>
    <mergeCell ref="B49:F49"/>
    <mergeCell ref="B50:F50"/>
    <mergeCell ref="B52:F52"/>
    <mergeCell ref="B34:G34"/>
    <mergeCell ref="B37:G37"/>
    <mergeCell ref="B38:G38"/>
    <mergeCell ref="A40:H40"/>
    <mergeCell ref="A41:H41"/>
    <mergeCell ref="B43:F43"/>
    <mergeCell ref="G27:H27"/>
    <mergeCell ref="G28:H28"/>
    <mergeCell ref="G29:H29"/>
    <mergeCell ref="G30:H30"/>
    <mergeCell ref="A32:H32"/>
    <mergeCell ref="B33:G33"/>
    <mergeCell ref="A24:H24"/>
    <mergeCell ref="A25:H25"/>
    <mergeCell ref="G26:H26"/>
    <mergeCell ref="B8:G8"/>
    <mergeCell ref="B9:G9"/>
    <mergeCell ref="B10:G10"/>
    <mergeCell ref="B11:G11"/>
    <mergeCell ref="A15:H15"/>
    <mergeCell ref="A16:F16"/>
    <mergeCell ref="G16:H16"/>
    <mergeCell ref="A1:H1"/>
    <mergeCell ref="A2:H2"/>
    <mergeCell ref="A3:H3"/>
    <mergeCell ref="G4:H4"/>
    <mergeCell ref="G5:H5"/>
    <mergeCell ref="A7:G7"/>
    <mergeCell ref="A17:F17"/>
    <mergeCell ref="A18:F21"/>
    <mergeCell ref="A23:H23"/>
  </mergeCells>
  <printOptions horizontalCentered="1"/>
  <pageMargins left="0.7" right="0.7" top="0.75" bottom="0.75" header="0" footer="0"/>
  <pageSetup paperSize="9" scale="39" fitToHeight="0" orientation="portrait" r:id="rId1"/>
  <rowBreaks count="1" manualBreakCount="1">
    <brk id="114" max="10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M175"/>
  <sheetViews>
    <sheetView zoomScaleNormal="100" workbookViewId="0">
      <selection activeCell="A132" sqref="A132:H132"/>
    </sheetView>
  </sheetViews>
  <sheetFormatPr defaultColWidth="14.42578125" defaultRowHeight="14.25"/>
  <cols>
    <col min="1" max="1" width="17.42578125" style="10" customWidth="1"/>
    <col min="2" max="2" width="61.5703125" style="10" customWidth="1"/>
    <col min="3" max="3" width="14.42578125" style="10" customWidth="1"/>
    <col min="4" max="4" width="13" style="10" customWidth="1"/>
    <col min="5" max="5" width="13.42578125" style="10" customWidth="1"/>
    <col min="6" max="6" width="13.7109375" style="10" customWidth="1"/>
    <col min="7" max="7" width="18.7109375" style="10" customWidth="1"/>
    <col min="8" max="8" width="20.140625" style="10" customWidth="1"/>
    <col min="9" max="9" width="20.42578125" style="10" customWidth="1"/>
    <col min="10" max="10" width="14.85546875" style="10" customWidth="1"/>
    <col min="11" max="11" width="15.7109375" style="10" customWidth="1"/>
    <col min="12" max="12" width="18.140625" style="10" customWidth="1"/>
    <col min="13" max="13" width="19.5703125" style="10" customWidth="1"/>
    <col min="14" max="26" width="8.7109375" style="10" customWidth="1"/>
    <col min="27" max="16384" width="14.42578125" style="10"/>
  </cols>
  <sheetData>
    <row r="1" spans="1:9" ht="15.75" thickBot="1">
      <c r="A1" s="396" t="s">
        <v>401</v>
      </c>
      <c r="B1" s="397"/>
      <c r="C1" s="397"/>
      <c r="D1" s="397"/>
      <c r="E1" s="397"/>
      <c r="F1" s="397"/>
      <c r="G1" s="397"/>
      <c r="H1" s="398"/>
    </row>
    <row r="2" spans="1:9" ht="15.75" thickBot="1">
      <c r="A2" s="399" t="s">
        <v>285</v>
      </c>
      <c r="B2" s="397"/>
      <c r="C2" s="397"/>
      <c r="D2" s="397"/>
      <c r="E2" s="397"/>
      <c r="F2" s="397"/>
      <c r="G2" s="397"/>
      <c r="H2" s="398"/>
    </row>
    <row r="3" spans="1:9">
      <c r="A3" s="400" t="s">
        <v>26</v>
      </c>
      <c r="B3" s="401"/>
      <c r="C3" s="401"/>
      <c r="D3" s="401"/>
      <c r="E3" s="401"/>
      <c r="F3" s="401"/>
      <c r="G3" s="401"/>
      <c r="H3" s="401"/>
      <c r="I3" s="46"/>
    </row>
    <row r="4" spans="1:9" ht="15">
      <c r="A4" s="47"/>
      <c r="B4" s="48" t="s">
        <v>212</v>
      </c>
      <c r="C4" s="49"/>
      <c r="D4" s="49"/>
      <c r="E4" s="49"/>
      <c r="F4" s="50"/>
      <c r="G4" s="402" t="s">
        <v>289</v>
      </c>
      <c r="H4" s="403"/>
    </row>
    <row r="5" spans="1:9" ht="15">
      <c r="A5" s="47"/>
      <c r="B5" s="48" t="s">
        <v>27</v>
      </c>
      <c r="C5" s="49"/>
      <c r="D5" s="49"/>
      <c r="E5" s="49"/>
      <c r="F5" s="50"/>
      <c r="G5" s="404" t="s">
        <v>385</v>
      </c>
      <c r="H5" s="403"/>
    </row>
    <row r="6" spans="1:9">
      <c r="A6" s="51"/>
      <c r="B6" s="51"/>
      <c r="C6" s="51"/>
      <c r="D6" s="51"/>
      <c r="E6" s="51"/>
      <c r="F6" s="51"/>
      <c r="G6" s="13"/>
    </row>
    <row r="7" spans="1:9" ht="15">
      <c r="A7" s="405" t="s">
        <v>0</v>
      </c>
      <c r="B7" s="401"/>
      <c r="C7" s="401"/>
      <c r="D7" s="401"/>
      <c r="E7" s="401"/>
      <c r="F7" s="401"/>
      <c r="G7" s="401"/>
    </row>
    <row r="8" spans="1:9" ht="15">
      <c r="A8" s="52" t="s">
        <v>1</v>
      </c>
      <c r="B8" s="406" t="s">
        <v>2</v>
      </c>
      <c r="C8" s="391"/>
      <c r="D8" s="391"/>
      <c r="E8" s="391"/>
      <c r="F8" s="391"/>
      <c r="G8" s="392"/>
      <c r="H8" s="53"/>
    </row>
    <row r="9" spans="1:9" ht="15">
      <c r="A9" s="52" t="s">
        <v>3</v>
      </c>
      <c r="B9" s="406" t="s">
        <v>4</v>
      </c>
      <c r="C9" s="391"/>
      <c r="D9" s="391"/>
      <c r="E9" s="391"/>
      <c r="F9" s="391"/>
      <c r="G9" s="392"/>
      <c r="H9" s="2" t="s">
        <v>284</v>
      </c>
    </row>
    <row r="10" spans="1:9" ht="15">
      <c r="A10" s="52" t="s">
        <v>5</v>
      </c>
      <c r="B10" s="407" t="s">
        <v>234</v>
      </c>
      <c r="C10" s="408"/>
      <c r="D10" s="408"/>
      <c r="E10" s="408"/>
      <c r="F10" s="408"/>
      <c r="G10" s="409"/>
      <c r="H10" s="3" t="s">
        <v>331</v>
      </c>
    </row>
    <row r="11" spans="1:9" ht="15">
      <c r="A11" s="52" t="s">
        <v>6</v>
      </c>
      <c r="B11" s="406" t="s">
        <v>213</v>
      </c>
      <c r="C11" s="391"/>
      <c r="D11" s="391"/>
      <c r="E11" s="391"/>
      <c r="F11" s="391"/>
      <c r="G11" s="392"/>
      <c r="H11" s="1">
        <v>12</v>
      </c>
    </row>
    <row r="12" spans="1:9" ht="15">
      <c r="A12" s="187" t="s">
        <v>290</v>
      </c>
      <c r="B12" s="184"/>
      <c r="C12" s="185"/>
      <c r="D12" s="185"/>
      <c r="E12" s="185"/>
      <c r="F12" s="185"/>
      <c r="G12" s="185"/>
      <c r="H12" s="186"/>
    </row>
    <row r="13" spans="1:9" ht="15">
      <c r="A13" s="187" t="s">
        <v>291</v>
      </c>
      <c r="B13" s="184"/>
      <c r="C13" s="185"/>
      <c r="D13" s="185"/>
      <c r="E13" s="185"/>
      <c r="F13" s="185"/>
      <c r="G13" s="185"/>
      <c r="H13" s="186"/>
    </row>
    <row r="14" spans="1:9" ht="15">
      <c r="A14" s="54"/>
      <c r="B14" s="51"/>
      <c r="C14" s="51"/>
      <c r="D14" s="51"/>
      <c r="E14" s="51"/>
      <c r="F14" s="51"/>
      <c r="G14" s="55"/>
    </row>
    <row r="15" spans="1:9" ht="15.75">
      <c r="A15" s="538" t="s">
        <v>28</v>
      </c>
      <c r="B15" s="539"/>
      <c r="C15" s="539"/>
      <c r="D15" s="539"/>
      <c r="E15" s="539"/>
      <c r="F15" s="539"/>
      <c r="G15" s="539"/>
      <c r="H15" s="539"/>
    </row>
    <row r="16" spans="1:9" ht="14.25" customHeight="1">
      <c r="A16" s="531" t="s">
        <v>29</v>
      </c>
      <c r="B16" s="532"/>
      <c r="C16" s="532"/>
      <c r="D16" s="532"/>
      <c r="E16" s="532"/>
      <c r="F16" s="530"/>
      <c r="G16" s="529" t="s">
        <v>332</v>
      </c>
      <c r="H16" s="530"/>
    </row>
    <row r="17" spans="1:8" ht="15" customHeight="1">
      <c r="A17" s="531" t="s">
        <v>30</v>
      </c>
      <c r="B17" s="532"/>
      <c r="C17" s="532"/>
      <c r="D17" s="532"/>
      <c r="E17" s="532"/>
      <c r="F17" s="530"/>
      <c r="G17" s="529" t="s">
        <v>333</v>
      </c>
      <c r="H17" s="530"/>
    </row>
    <row r="18" spans="1:8" ht="14.25" customHeight="1">
      <c r="A18" s="531" t="s">
        <v>31</v>
      </c>
      <c r="B18" s="532"/>
      <c r="C18" s="532"/>
      <c r="D18" s="532"/>
      <c r="E18" s="532"/>
      <c r="F18" s="530"/>
      <c r="G18" s="533">
        <v>1</v>
      </c>
      <c r="H18" s="530"/>
    </row>
    <row r="19" spans="1:8" ht="14.25" customHeight="1">
      <c r="A19" s="537" t="s">
        <v>345</v>
      </c>
      <c r="B19" s="537"/>
      <c r="C19" s="537"/>
      <c r="D19" s="537"/>
      <c r="E19" s="537"/>
      <c r="F19" s="537"/>
      <c r="G19" s="537"/>
      <c r="H19" s="537"/>
    </row>
    <row r="20" spans="1:8">
      <c r="A20" s="57"/>
      <c r="B20" s="57"/>
      <c r="C20" s="57"/>
      <c r="D20" s="57"/>
      <c r="E20" s="57"/>
      <c r="F20" s="57"/>
      <c r="G20" s="13"/>
      <c r="H20" s="13"/>
    </row>
    <row r="21" spans="1:8" ht="15">
      <c r="A21" s="405" t="s">
        <v>32</v>
      </c>
      <c r="B21" s="401"/>
      <c r="C21" s="401"/>
      <c r="D21" s="401"/>
      <c r="E21" s="401"/>
      <c r="F21" s="401"/>
      <c r="G21" s="401"/>
      <c r="H21" s="401"/>
    </row>
    <row r="22" spans="1:8" ht="15">
      <c r="A22" s="417" t="s">
        <v>33</v>
      </c>
      <c r="B22" s="401"/>
      <c r="C22" s="401"/>
      <c r="D22" s="401"/>
      <c r="E22" s="401"/>
      <c r="F22" s="401"/>
      <c r="G22" s="401"/>
      <c r="H22" s="401"/>
    </row>
    <row r="23" spans="1:8" ht="15">
      <c r="A23" s="418" t="s">
        <v>34</v>
      </c>
      <c r="B23" s="391"/>
      <c r="C23" s="391"/>
      <c r="D23" s="391"/>
      <c r="E23" s="391"/>
      <c r="F23" s="391"/>
      <c r="G23" s="391"/>
      <c r="H23" s="392"/>
    </row>
    <row r="24" spans="1:8" ht="16.5" customHeight="1">
      <c r="A24" s="52">
        <v>1</v>
      </c>
      <c r="B24" s="156" t="s">
        <v>35</v>
      </c>
      <c r="C24" s="59"/>
      <c r="D24" s="59"/>
      <c r="E24" s="59"/>
      <c r="F24" s="60"/>
      <c r="G24" s="419" t="s">
        <v>335</v>
      </c>
      <c r="H24" s="420"/>
    </row>
    <row r="25" spans="1:8" ht="15">
      <c r="A25" s="61">
        <v>2</v>
      </c>
      <c r="B25" s="58" t="s">
        <v>36</v>
      </c>
      <c r="C25" s="59"/>
      <c r="D25" s="59"/>
      <c r="E25" s="59"/>
      <c r="F25" s="60"/>
      <c r="G25" s="419" t="s">
        <v>336</v>
      </c>
      <c r="H25" s="392"/>
    </row>
    <row r="26" spans="1:8" ht="15">
      <c r="A26" s="61">
        <v>3</v>
      </c>
      <c r="B26" s="58" t="s">
        <v>37</v>
      </c>
      <c r="C26" s="59"/>
      <c r="D26" s="59"/>
      <c r="E26" s="59"/>
      <c r="F26" s="60"/>
      <c r="G26" s="421">
        <v>2000</v>
      </c>
      <c r="H26" s="392"/>
    </row>
    <row r="27" spans="1:8" ht="15">
      <c r="A27" s="61">
        <v>4</v>
      </c>
      <c r="B27" s="58" t="s">
        <v>10</v>
      </c>
      <c r="C27" s="59"/>
      <c r="D27" s="59"/>
      <c r="E27" s="59"/>
      <c r="F27" s="60"/>
      <c r="G27" s="422" t="s">
        <v>334</v>
      </c>
      <c r="H27" s="392"/>
    </row>
    <row r="28" spans="1:8" ht="15">
      <c r="A28" s="61">
        <v>5</v>
      </c>
      <c r="B28" s="58" t="s">
        <v>11</v>
      </c>
      <c r="C28" s="59"/>
      <c r="D28" s="59"/>
      <c r="E28" s="59"/>
      <c r="F28" s="60"/>
      <c r="G28" s="423">
        <v>45658</v>
      </c>
      <c r="H28" s="392"/>
    </row>
    <row r="29" spans="1:8">
      <c r="A29" s="62"/>
      <c r="B29" s="62"/>
      <c r="C29" s="62"/>
      <c r="D29" s="62"/>
      <c r="E29" s="62"/>
      <c r="F29" s="62"/>
      <c r="G29" s="62"/>
    </row>
    <row r="30" spans="1:8" ht="15">
      <c r="A30" s="405" t="s">
        <v>38</v>
      </c>
      <c r="B30" s="401"/>
      <c r="C30" s="401"/>
      <c r="D30" s="401"/>
      <c r="E30" s="401"/>
      <c r="F30" s="401"/>
      <c r="G30" s="401"/>
      <c r="H30" s="401"/>
    </row>
    <row r="31" spans="1:8" ht="15">
      <c r="A31" s="63">
        <v>1</v>
      </c>
      <c r="B31" s="424" t="s">
        <v>39</v>
      </c>
      <c r="C31" s="391"/>
      <c r="D31" s="391"/>
      <c r="E31" s="391"/>
      <c r="F31" s="391"/>
      <c r="G31" s="392"/>
      <c r="H31" s="63" t="s">
        <v>12</v>
      </c>
    </row>
    <row r="32" spans="1:8">
      <c r="A32" s="64" t="s">
        <v>13</v>
      </c>
      <c r="B32" s="425" t="s">
        <v>40</v>
      </c>
      <c r="C32" s="391"/>
      <c r="D32" s="391"/>
      <c r="E32" s="391"/>
      <c r="F32" s="391"/>
      <c r="G32" s="392"/>
      <c r="H32" s="65">
        <f>G26</f>
        <v>2000</v>
      </c>
    </row>
    <row r="33" spans="1:10">
      <c r="A33" s="64" t="s">
        <v>3</v>
      </c>
      <c r="B33" s="534" t="s">
        <v>351</v>
      </c>
      <c r="C33" s="535"/>
      <c r="D33" s="535"/>
      <c r="E33" s="535"/>
      <c r="F33" s="535"/>
      <c r="G33" s="536"/>
      <c r="H33" s="65">
        <f>H32*30%</f>
        <v>600</v>
      </c>
    </row>
    <row r="34" spans="1:10">
      <c r="A34" s="64" t="s">
        <v>5</v>
      </c>
      <c r="B34" s="194" t="s">
        <v>337</v>
      </c>
      <c r="C34" s="192"/>
      <c r="D34" s="192"/>
      <c r="E34" s="192"/>
      <c r="F34" s="192"/>
      <c r="G34" s="195"/>
      <c r="H34" s="65">
        <v>0</v>
      </c>
    </row>
    <row r="35" spans="1:10">
      <c r="A35" s="64" t="s">
        <v>6</v>
      </c>
      <c r="B35" s="194" t="s">
        <v>353</v>
      </c>
      <c r="C35" s="192"/>
      <c r="D35" s="192"/>
      <c r="E35" s="192"/>
      <c r="F35" s="192"/>
      <c r="G35" s="195"/>
      <c r="H35" s="65">
        <v>0</v>
      </c>
    </row>
    <row r="36" spans="1:10">
      <c r="A36" s="64" t="s">
        <v>7</v>
      </c>
      <c r="B36" s="523" t="s">
        <v>303</v>
      </c>
      <c r="C36" s="524"/>
      <c r="D36" s="524"/>
      <c r="E36" s="524"/>
      <c r="F36" s="524"/>
      <c r="G36" s="525"/>
      <c r="H36" s="66">
        <v>0</v>
      </c>
    </row>
    <row r="37" spans="1:10" ht="15">
      <c r="A37" s="67"/>
      <c r="B37" s="430" t="s">
        <v>14</v>
      </c>
      <c r="C37" s="391"/>
      <c r="D37" s="391"/>
      <c r="E37" s="391"/>
      <c r="F37" s="391"/>
      <c r="G37" s="392"/>
      <c r="H37" s="68">
        <f>SUM(H32:H36)</f>
        <v>2600</v>
      </c>
    </row>
    <row r="38" spans="1:10">
      <c r="A38" s="69"/>
      <c r="B38" s="69"/>
      <c r="C38" s="69"/>
      <c r="D38" s="69"/>
      <c r="E38" s="69"/>
      <c r="F38" s="69"/>
      <c r="G38" s="69"/>
      <c r="H38" s="69"/>
    </row>
    <row r="39" spans="1:10" ht="15">
      <c r="A39" s="405" t="s">
        <v>41</v>
      </c>
      <c r="B39" s="401"/>
      <c r="C39" s="401"/>
      <c r="D39" s="401"/>
      <c r="E39" s="401"/>
      <c r="F39" s="401"/>
      <c r="G39" s="401"/>
      <c r="H39" s="401"/>
    </row>
    <row r="40" spans="1:10" ht="15">
      <c r="A40" s="411" t="s">
        <v>42</v>
      </c>
      <c r="B40" s="395"/>
      <c r="C40" s="395"/>
      <c r="D40" s="395"/>
      <c r="E40" s="395"/>
      <c r="F40" s="395"/>
      <c r="G40" s="395"/>
      <c r="H40" s="395"/>
    </row>
    <row r="41" spans="1:10" ht="15">
      <c r="A41" s="63" t="s">
        <v>43</v>
      </c>
      <c r="B41" s="70" t="s">
        <v>44</v>
      </c>
      <c r="C41" s="71"/>
      <c r="D41" s="71"/>
      <c r="E41" s="71"/>
      <c r="F41" s="72"/>
      <c r="G41" s="73" t="s">
        <v>45</v>
      </c>
      <c r="H41" s="74" t="s">
        <v>12</v>
      </c>
    </row>
    <row r="42" spans="1:10">
      <c r="A42" s="75" t="s">
        <v>1</v>
      </c>
      <c r="B42" s="390" t="s">
        <v>46</v>
      </c>
      <c r="C42" s="391"/>
      <c r="D42" s="391"/>
      <c r="E42" s="391"/>
      <c r="F42" s="392"/>
      <c r="G42" s="76">
        <f>1/12</f>
        <v>8.3333333333333329E-2</v>
      </c>
      <c r="H42" s="65">
        <f>$G$42*$H$37</f>
        <v>216.66666666666666</v>
      </c>
    </row>
    <row r="43" spans="1:10">
      <c r="A43" s="75" t="s">
        <v>3</v>
      </c>
      <c r="B43" s="390" t="s">
        <v>47</v>
      </c>
      <c r="C43" s="391"/>
      <c r="D43" s="391"/>
      <c r="E43" s="391"/>
      <c r="F43" s="392"/>
      <c r="G43" s="76">
        <v>2.7799999999999998E-2</v>
      </c>
      <c r="H43" s="77">
        <f>$G$43*$H$37</f>
        <v>72.28</v>
      </c>
    </row>
    <row r="44" spans="1:10" ht="15">
      <c r="A44" s="67"/>
      <c r="B44" s="393" t="s">
        <v>48</v>
      </c>
      <c r="C44" s="391"/>
      <c r="D44" s="391"/>
      <c r="E44" s="391"/>
      <c r="F44" s="391"/>
      <c r="G44" s="392"/>
      <c r="H44" s="78">
        <f>SUM(H42:H43)</f>
        <v>288.94666666666666</v>
      </c>
    </row>
    <row r="45" spans="1:10" ht="15">
      <c r="A45" s="79"/>
      <c r="B45" s="80"/>
      <c r="C45" s="80"/>
      <c r="D45" s="80"/>
      <c r="E45" s="80"/>
      <c r="F45" s="80"/>
      <c r="G45" s="80"/>
      <c r="H45" s="80"/>
    </row>
    <row r="46" spans="1:10" ht="15">
      <c r="A46" s="394" t="s">
        <v>49</v>
      </c>
      <c r="B46" s="395"/>
      <c r="C46" s="395"/>
      <c r="D46" s="395"/>
      <c r="E46" s="395"/>
      <c r="F46" s="395"/>
      <c r="G46" s="395"/>
      <c r="H46" s="395"/>
    </row>
    <row r="47" spans="1:10" ht="15">
      <c r="A47" s="81" t="s">
        <v>50</v>
      </c>
      <c r="B47" s="82" t="s">
        <v>51</v>
      </c>
      <c r="C47" s="83"/>
      <c r="D47" s="83"/>
      <c r="E47" s="83"/>
      <c r="F47" s="84"/>
      <c r="G47" s="81" t="s">
        <v>52</v>
      </c>
      <c r="H47" s="81" t="s">
        <v>16</v>
      </c>
    </row>
    <row r="48" spans="1:10">
      <c r="A48" s="85" t="s">
        <v>1</v>
      </c>
      <c r="B48" s="390" t="s">
        <v>17</v>
      </c>
      <c r="C48" s="391"/>
      <c r="D48" s="391"/>
      <c r="E48" s="391"/>
      <c r="F48" s="392"/>
      <c r="G48" s="86">
        <v>0.2</v>
      </c>
      <c r="H48" s="87">
        <f>($H$37+$H$44)*$G$48</f>
        <v>577.78933333333339</v>
      </c>
      <c r="J48" s="88"/>
    </row>
    <row r="49" spans="1:9">
      <c r="A49" s="75" t="s">
        <v>3</v>
      </c>
      <c r="B49" s="390" t="s">
        <v>53</v>
      </c>
      <c r="C49" s="391"/>
      <c r="D49" s="391"/>
      <c r="E49" s="391"/>
      <c r="F49" s="392"/>
      <c r="G49" s="86">
        <v>2.5000000000000001E-2</v>
      </c>
      <c r="H49" s="87">
        <f>($H$37+$H$44)*$G$49</f>
        <v>72.223666666666674</v>
      </c>
    </row>
    <row r="50" spans="1:9">
      <c r="A50" s="75" t="s">
        <v>5</v>
      </c>
      <c r="B50" s="89" t="s">
        <v>301</v>
      </c>
      <c r="C50" s="89" t="s">
        <v>54</v>
      </c>
      <c r="D50" s="157">
        <v>0.03</v>
      </c>
      <c r="E50" s="89" t="s">
        <v>55</v>
      </c>
      <c r="F50" s="89">
        <v>1</v>
      </c>
      <c r="G50" s="90">
        <f>D50*F50</f>
        <v>0.03</v>
      </c>
      <c r="H50" s="87">
        <f>($H$37+$H$44)*$G$50</f>
        <v>86.668399999999991</v>
      </c>
      <c r="I50" s="10" t="s">
        <v>352</v>
      </c>
    </row>
    <row r="51" spans="1:9">
      <c r="A51" s="75" t="s">
        <v>6</v>
      </c>
      <c r="B51" s="390" t="s">
        <v>56</v>
      </c>
      <c r="C51" s="391"/>
      <c r="D51" s="391"/>
      <c r="E51" s="391"/>
      <c r="F51" s="392"/>
      <c r="G51" s="86">
        <v>1.4999999999999999E-2</v>
      </c>
      <c r="H51" s="87">
        <f>($H$37+$H$44)*$G$51</f>
        <v>43.334199999999996</v>
      </c>
    </row>
    <row r="52" spans="1:9">
      <c r="A52" s="75" t="s">
        <v>7</v>
      </c>
      <c r="B52" s="390" t="s">
        <v>57</v>
      </c>
      <c r="C52" s="391"/>
      <c r="D52" s="391"/>
      <c r="E52" s="391"/>
      <c r="F52" s="392"/>
      <c r="G52" s="86">
        <v>0.01</v>
      </c>
      <c r="H52" s="87">
        <f>($H$37+$H$44)*$G$52</f>
        <v>28.889466666666667</v>
      </c>
    </row>
    <row r="53" spans="1:9">
      <c r="A53" s="75" t="s">
        <v>8</v>
      </c>
      <c r="B53" s="390" t="s">
        <v>20</v>
      </c>
      <c r="C53" s="391"/>
      <c r="D53" s="391"/>
      <c r="E53" s="391"/>
      <c r="F53" s="392"/>
      <c r="G53" s="86">
        <v>6.0000000000000001E-3</v>
      </c>
      <c r="H53" s="87">
        <f>($H$37+$H$44)*$G$53</f>
        <v>17.333680000000001</v>
      </c>
    </row>
    <row r="54" spans="1:9">
      <c r="A54" s="85" t="s">
        <v>9</v>
      </c>
      <c r="B54" s="390" t="s">
        <v>18</v>
      </c>
      <c r="C54" s="391"/>
      <c r="D54" s="391"/>
      <c r="E54" s="391"/>
      <c r="F54" s="392"/>
      <c r="G54" s="86">
        <v>2E-3</v>
      </c>
      <c r="H54" s="87">
        <f>($H$37+$H$44)*$G$54</f>
        <v>5.777893333333334</v>
      </c>
    </row>
    <row r="55" spans="1:9">
      <c r="A55" s="85" t="s">
        <v>58</v>
      </c>
      <c r="B55" s="390" t="s">
        <v>19</v>
      </c>
      <c r="C55" s="391"/>
      <c r="D55" s="391"/>
      <c r="E55" s="391"/>
      <c r="F55" s="392"/>
      <c r="G55" s="91">
        <v>0.08</v>
      </c>
      <c r="H55" s="87">
        <f>($H$37+$H$44)*$G$55</f>
        <v>231.11573333333334</v>
      </c>
    </row>
    <row r="56" spans="1:9" ht="15">
      <c r="A56" s="92" t="s">
        <v>59</v>
      </c>
      <c r="B56" s="70"/>
      <c r="C56" s="71"/>
      <c r="D56" s="71"/>
      <c r="E56" s="71"/>
      <c r="F56" s="72"/>
      <c r="G56" s="93">
        <f>SUM(G48:G55)</f>
        <v>0.36800000000000005</v>
      </c>
      <c r="H56" s="94">
        <f>SUM($H$48:$H$55)</f>
        <v>1063.1323733333334</v>
      </c>
    </row>
    <row r="57" spans="1:9" ht="15">
      <c r="A57" s="191" t="s">
        <v>292</v>
      </c>
      <c r="B57" s="188"/>
      <c r="C57" s="188"/>
      <c r="D57" s="188"/>
      <c r="E57" s="188"/>
      <c r="F57" s="188"/>
      <c r="G57" s="189"/>
      <c r="H57" s="190"/>
    </row>
    <row r="58" spans="1:9" ht="15">
      <c r="A58" s="95"/>
      <c r="B58" s="95"/>
      <c r="C58" s="95"/>
      <c r="D58" s="95"/>
      <c r="E58" s="95"/>
      <c r="F58" s="95"/>
      <c r="G58" s="95"/>
      <c r="H58" s="95"/>
    </row>
    <row r="59" spans="1:9" ht="15">
      <c r="A59" s="411" t="s">
        <v>60</v>
      </c>
      <c r="B59" s="395"/>
      <c r="C59" s="395"/>
      <c r="D59" s="395"/>
      <c r="E59" s="395"/>
      <c r="F59" s="395"/>
      <c r="G59" s="395"/>
      <c r="H59" s="395"/>
    </row>
    <row r="60" spans="1:9" ht="15">
      <c r="A60" s="63" t="s">
        <v>61</v>
      </c>
      <c r="B60" s="393" t="s">
        <v>62</v>
      </c>
      <c r="C60" s="391"/>
      <c r="D60" s="391"/>
      <c r="E60" s="391"/>
      <c r="F60" s="391"/>
      <c r="G60" s="392"/>
      <c r="H60" s="73" t="s">
        <v>12</v>
      </c>
    </row>
    <row r="61" spans="1:9">
      <c r="A61" s="75" t="s">
        <v>1</v>
      </c>
      <c r="B61" s="431" t="s">
        <v>339</v>
      </c>
      <c r="C61" s="391"/>
      <c r="D61" s="391"/>
      <c r="E61" s="391"/>
      <c r="F61" s="391"/>
      <c r="G61" s="392"/>
      <c r="H61" s="96">
        <f>C155</f>
        <v>33.199999999999989</v>
      </c>
    </row>
    <row r="62" spans="1:9">
      <c r="A62" s="75" t="s">
        <v>3</v>
      </c>
      <c r="B62" s="97" t="s">
        <v>340</v>
      </c>
      <c r="C62" s="98"/>
      <c r="D62" s="98"/>
      <c r="E62" s="98"/>
      <c r="F62" s="99"/>
      <c r="G62" s="100">
        <f>E160</f>
        <v>660</v>
      </c>
      <c r="H62" s="96">
        <f>C166</f>
        <v>587.4</v>
      </c>
    </row>
    <row r="63" spans="1:9" ht="15">
      <c r="A63" s="75" t="s">
        <v>5</v>
      </c>
      <c r="B63" s="432" t="s">
        <v>341</v>
      </c>
      <c r="C63" s="433"/>
      <c r="D63" s="433"/>
      <c r="E63" s="433"/>
      <c r="F63" s="433"/>
      <c r="G63" s="434"/>
      <c r="H63" s="4">
        <f>H37*6%</f>
        <v>156</v>
      </c>
    </row>
    <row r="64" spans="1:9" ht="15">
      <c r="A64" s="75" t="s">
        <v>6</v>
      </c>
      <c r="B64" s="435" t="s">
        <v>342</v>
      </c>
      <c r="C64" s="436"/>
      <c r="D64" s="436"/>
      <c r="E64" s="436"/>
      <c r="F64" s="436"/>
      <c r="G64" s="437"/>
      <c r="H64" s="4">
        <v>1</v>
      </c>
    </row>
    <row r="65" spans="1:13" ht="15">
      <c r="A65" s="75" t="s">
        <v>7</v>
      </c>
      <c r="B65" s="435" t="s">
        <v>343</v>
      </c>
      <c r="C65" s="436"/>
      <c r="D65" s="436"/>
      <c r="E65" s="436"/>
      <c r="F65" s="436"/>
      <c r="G65" s="437"/>
      <c r="H65" s="4">
        <v>16</v>
      </c>
    </row>
    <row r="66" spans="1:13" ht="15">
      <c r="A66" s="75" t="s">
        <v>8</v>
      </c>
      <c r="B66" s="181" t="s">
        <v>344</v>
      </c>
      <c r="C66" s="182"/>
      <c r="D66" s="182"/>
      <c r="E66" s="182"/>
      <c r="F66" s="182"/>
      <c r="G66" s="183"/>
      <c r="H66" s="4">
        <v>72.680000000000007</v>
      </c>
    </row>
    <row r="67" spans="1:13" ht="15">
      <c r="A67" s="75" t="s">
        <v>9</v>
      </c>
      <c r="B67" s="181"/>
      <c r="C67" s="182"/>
      <c r="D67" s="182"/>
      <c r="E67" s="182"/>
      <c r="F67" s="182"/>
      <c r="G67" s="183"/>
      <c r="H67" s="4">
        <v>0</v>
      </c>
    </row>
    <row r="68" spans="1:13">
      <c r="A68" s="85" t="s">
        <v>58</v>
      </c>
      <c r="B68" s="438" t="s">
        <v>63</v>
      </c>
      <c r="C68" s="391"/>
      <c r="D68" s="391"/>
      <c r="E68" s="391"/>
      <c r="F68" s="391"/>
      <c r="G68" s="392"/>
      <c r="H68" s="101">
        <v>0</v>
      </c>
    </row>
    <row r="69" spans="1:13" ht="15">
      <c r="A69" s="67"/>
      <c r="B69" s="430" t="s">
        <v>48</v>
      </c>
      <c r="C69" s="391"/>
      <c r="D69" s="391"/>
      <c r="E69" s="391"/>
      <c r="F69" s="391"/>
      <c r="G69" s="392"/>
      <c r="H69" s="78">
        <f>SUM(H61:H68)</f>
        <v>866.28</v>
      </c>
    </row>
    <row r="70" spans="1:13" ht="15">
      <c r="A70" s="102"/>
      <c r="B70" s="103"/>
      <c r="C70" s="103"/>
      <c r="D70" s="103"/>
      <c r="E70" s="103"/>
      <c r="F70" s="103"/>
      <c r="G70" s="103"/>
      <c r="H70" s="104"/>
      <c r="M70" s="88"/>
    </row>
    <row r="71" spans="1:13">
      <c r="A71" s="439" t="s">
        <v>64</v>
      </c>
      <c r="B71" s="440"/>
      <c r="C71" s="440"/>
      <c r="D71" s="440"/>
      <c r="E71" s="440"/>
      <c r="F71" s="440"/>
      <c r="G71" s="440"/>
      <c r="H71" s="441"/>
      <c r="I71" s="105"/>
    </row>
    <row r="72" spans="1:13" ht="15">
      <c r="A72" s="73">
        <v>2</v>
      </c>
      <c r="B72" s="393" t="s">
        <v>65</v>
      </c>
      <c r="C72" s="391"/>
      <c r="D72" s="391"/>
      <c r="E72" s="391"/>
      <c r="F72" s="391"/>
      <c r="G72" s="392"/>
      <c r="H72" s="73" t="s">
        <v>12</v>
      </c>
    </row>
    <row r="73" spans="1:13">
      <c r="A73" s="75" t="s">
        <v>43</v>
      </c>
      <c r="B73" s="431" t="s">
        <v>66</v>
      </c>
      <c r="C73" s="391"/>
      <c r="D73" s="391"/>
      <c r="E73" s="391"/>
      <c r="F73" s="391"/>
      <c r="G73" s="392"/>
      <c r="H73" s="96">
        <f>$H$44</f>
        <v>288.94666666666666</v>
      </c>
    </row>
    <row r="74" spans="1:13">
      <c r="A74" s="75" t="s">
        <v>50</v>
      </c>
      <c r="B74" s="431" t="s">
        <v>51</v>
      </c>
      <c r="C74" s="391"/>
      <c r="D74" s="391"/>
      <c r="E74" s="391"/>
      <c r="F74" s="391"/>
      <c r="G74" s="392"/>
      <c r="H74" s="96">
        <f>$H$56</f>
        <v>1063.1323733333334</v>
      </c>
    </row>
    <row r="75" spans="1:13">
      <c r="A75" s="75" t="s">
        <v>61</v>
      </c>
      <c r="B75" s="406" t="s">
        <v>67</v>
      </c>
      <c r="C75" s="391"/>
      <c r="D75" s="391"/>
      <c r="E75" s="391"/>
      <c r="F75" s="391"/>
      <c r="G75" s="392"/>
      <c r="H75" s="96">
        <f>$H$69</f>
        <v>866.28</v>
      </c>
    </row>
    <row r="76" spans="1:13" ht="15">
      <c r="A76" s="106"/>
      <c r="B76" s="430" t="s">
        <v>68</v>
      </c>
      <c r="C76" s="391"/>
      <c r="D76" s="391"/>
      <c r="E76" s="391"/>
      <c r="F76" s="391"/>
      <c r="G76" s="392"/>
      <c r="H76" s="78">
        <f>SUM(H73:H75)</f>
        <v>2218.3590400000003</v>
      </c>
    </row>
    <row r="77" spans="1:13" ht="15">
      <c r="A77" s="102"/>
      <c r="B77" s="103"/>
      <c r="C77" s="103"/>
      <c r="D77" s="103"/>
      <c r="E77" s="103"/>
      <c r="F77" s="103"/>
      <c r="G77" s="103"/>
      <c r="H77" s="104"/>
    </row>
    <row r="78" spans="1:13">
      <c r="A78" s="442" t="s">
        <v>69</v>
      </c>
      <c r="B78" s="443"/>
      <c r="C78" s="443"/>
      <c r="D78" s="443"/>
      <c r="E78" s="443"/>
      <c r="F78" s="443"/>
      <c r="G78" s="443"/>
      <c r="H78" s="444"/>
    </row>
    <row r="79" spans="1:13" ht="15">
      <c r="A79" s="74">
        <v>3</v>
      </c>
      <c r="B79" s="447" t="s">
        <v>70</v>
      </c>
      <c r="C79" s="391"/>
      <c r="D79" s="391"/>
      <c r="E79" s="391"/>
      <c r="F79" s="392"/>
      <c r="G79" s="107" t="s">
        <v>52</v>
      </c>
      <c r="H79" s="74" t="s">
        <v>71</v>
      </c>
      <c r="J79" s="108"/>
    </row>
    <row r="80" spans="1:13">
      <c r="A80" s="109" t="s">
        <v>1</v>
      </c>
      <c r="B80" s="110" t="s">
        <v>214</v>
      </c>
      <c r="C80" s="111"/>
      <c r="D80" s="111"/>
      <c r="E80" s="111"/>
      <c r="F80" s="112"/>
      <c r="G80" s="91">
        <f>(5%*(1/12))</f>
        <v>4.1666666666666666E-3</v>
      </c>
      <c r="H80" s="113">
        <f t="shared" ref="H80:H85" si="0">G80*$H$37</f>
        <v>10.833333333333334</v>
      </c>
      <c r="K80" s="108"/>
    </row>
    <row r="81" spans="1:11">
      <c r="A81" s="114" t="s">
        <v>3</v>
      </c>
      <c r="B81" s="110" t="s">
        <v>215</v>
      </c>
      <c r="C81" s="111"/>
      <c r="D81" s="111"/>
      <c r="E81" s="111"/>
      <c r="F81" s="112"/>
      <c r="G81" s="91">
        <f>G80*G55</f>
        <v>3.3333333333333332E-4</v>
      </c>
      <c r="H81" s="113">
        <f t="shared" si="0"/>
        <v>0.86666666666666659</v>
      </c>
      <c r="I81" s="88"/>
      <c r="J81" s="115"/>
      <c r="K81" s="88"/>
    </row>
    <row r="82" spans="1:11">
      <c r="A82" s="85" t="s">
        <v>5</v>
      </c>
      <c r="B82" s="97" t="s">
        <v>72</v>
      </c>
      <c r="C82" s="98"/>
      <c r="D82" s="98"/>
      <c r="E82" s="98"/>
      <c r="F82" s="99"/>
      <c r="G82" s="91">
        <f>((0.08*0.4*0.9)*(1+0.0833+0.09075+0.03025))</f>
        <v>3.4683840000000001E-2</v>
      </c>
      <c r="H82" s="113">
        <f t="shared" si="0"/>
        <v>90.177983999999995</v>
      </c>
      <c r="J82" s="105"/>
    </row>
    <row r="83" spans="1:11">
      <c r="A83" s="114" t="s">
        <v>6</v>
      </c>
      <c r="B83" s="110" t="s">
        <v>216</v>
      </c>
      <c r="C83" s="111"/>
      <c r="D83" s="111"/>
      <c r="E83" s="111"/>
      <c r="F83" s="112"/>
      <c r="G83" s="91">
        <f>((1/30)*7)/12</f>
        <v>1.9444444444444445E-2</v>
      </c>
      <c r="H83" s="113">
        <f t="shared" si="0"/>
        <v>50.555555555555557</v>
      </c>
      <c r="J83" s="105"/>
    </row>
    <row r="84" spans="1:11">
      <c r="A84" s="116" t="s">
        <v>7</v>
      </c>
      <c r="B84" s="110" t="s">
        <v>217</v>
      </c>
      <c r="C84" s="111"/>
      <c r="D84" s="111"/>
      <c r="E84" s="111"/>
      <c r="F84" s="112"/>
      <c r="G84" s="91">
        <f>(G56*G83)</f>
        <v>7.1555555555555565E-3</v>
      </c>
      <c r="H84" s="113">
        <f t="shared" si="0"/>
        <v>18.604444444444447</v>
      </c>
    </row>
    <row r="85" spans="1:11">
      <c r="A85" s="75" t="s">
        <v>8</v>
      </c>
      <c r="B85" s="97" t="s">
        <v>73</v>
      </c>
      <c r="C85" s="98"/>
      <c r="D85" s="98"/>
      <c r="E85" s="98"/>
      <c r="F85" s="99"/>
      <c r="G85" s="91">
        <f>ROUNDUP(((0.08*0.4)*G56)/100,4)</f>
        <v>2.0000000000000001E-4</v>
      </c>
      <c r="H85" s="113">
        <f t="shared" si="0"/>
        <v>0.52</v>
      </c>
      <c r="I85" s="88"/>
      <c r="J85" s="88"/>
    </row>
    <row r="86" spans="1:11" ht="15">
      <c r="A86" s="445" t="s">
        <v>59</v>
      </c>
      <c r="B86" s="391"/>
      <c r="C86" s="391"/>
      <c r="D86" s="391"/>
      <c r="E86" s="391"/>
      <c r="F86" s="391"/>
      <c r="G86" s="392"/>
      <c r="H86" s="117">
        <f>TRUNC(SUM(H80:H85),2)</f>
        <v>171.55</v>
      </c>
      <c r="K86" s="88"/>
    </row>
    <row r="87" spans="1:11">
      <c r="A87" s="448" t="s">
        <v>218</v>
      </c>
      <c r="B87" s="449"/>
      <c r="C87" s="449"/>
      <c r="D87" s="449"/>
      <c r="E87" s="449"/>
      <c r="F87" s="449"/>
      <c r="G87" s="449"/>
      <c r="H87" s="449"/>
      <c r="I87" s="118"/>
    </row>
    <row r="88" spans="1:11">
      <c r="A88" s="450" t="s">
        <v>74</v>
      </c>
      <c r="B88" s="401"/>
      <c r="C88" s="401"/>
      <c r="D88" s="401"/>
      <c r="E88" s="401"/>
      <c r="F88" s="401"/>
      <c r="G88" s="401"/>
      <c r="H88" s="401"/>
      <c r="I88" s="118"/>
    </row>
    <row r="89" spans="1:11" ht="15">
      <c r="A89" s="102"/>
      <c r="B89" s="103"/>
      <c r="C89" s="103"/>
      <c r="D89" s="103"/>
      <c r="E89" s="103"/>
      <c r="F89" s="103"/>
      <c r="G89" s="103"/>
      <c r="H89" s="104"/>
      <c r="I89" s="118"/>
    </row>
    <row r="90" spans="1:11">
      <c r="A90" s="442" t="s">
        <v>75</v>
      </c>
      <c r="B90" s="443"/>
      <c r="C90" s="443"/>
      <c r="D90" s="443"/>
      <c r="E90" s="443"/>
      <c r="F90" s="443"/>
      <c r="G90" s="443"/>
      <c r="H90" s="444"/>
    </row>
    <row r="91" spans="1:11">
      <c r="A91" s="451" t="s">
        <v>76</v>
      </c>
      <c r="B91" s="440"/>
      <c r="C91" s="440"/>
      <c r="D91" s="440"/>
      <c r="E91" s="440"/>
      <c r="F91" s="440"/>
      <c r="G91" s="440"/>
      <c r="H91" s="441"/>
    </row>
    <row r="92" spans="1:11" ht="45">
      <c r="A92" s="74" t="s">
        <v>77</v>
      </c>
      <c r="B92" s="424" t="s">
        <v>78</v>
      </c>
      <c r="C92" s="391"/>
      <c r="D92" s="391"/>
      <c r="E92" s="391"/>
      <c r="F92" s="392"/>
      <c r="G92" s="107" t="s">
        <v>79</v>
      </c>
      <c r="H92" s="74" t="s">
        <v>71</v>
      </c>
      <c r="I92" s="119"/>
    </row>
    <row r="93" spans="1:11">
      <c r="A93" s="85" t="s">
        <v>1</v>
      </c>
      <c r="B93" s="390" t="s">
        <v>80</v>
      </c>
      <c r="C93" s="391"/>
      <c r="D93" s="391"/>
      <c r="E93" s="391"/>
      <c r="F93" s="392"/>
      <c r="G93" s="120">
        <v>9.0749999999999997E-2</v>
      </c>
      <c r="H93" s="113">
        <f t="shared" ref="H93:H98" si="1">G93*$H$37</f>
        <v>235.95</v>
      </c>
      <c r="J93" s="88"/>
    </row>
    <row r="94" spans="1:11">
      <c r="A94" s="75" t="s">
        <v>3</v>
      </c>
      <c r="B94" s="390" t="s">
        <v>81</v>
      </c>
      <c r="C94" s="391"/>
      <c r="D94" s="391"/>
      <c r="E94" s="391"/>
      <c r="F94" s="392"/>
      <c r="G94" s="120">
        <v>1.6299999999999999E-2</v>
      </c>
      <c r="H94" s="113">
        <f t="shared" si="1"/>
        <v>42.379999999999995</v>
      </c>
    </row>
    <row r="95" spans="1:11">
      <c r="A95" s="85" t="s">
        <v>5</v>
      </c>
      <c r="B95" s="390" t="s">
        <v>82</v>
      </c>
      <c r="C95" s="391"/>
      <c r="D95" s="391"/>
      <c r="E95" s="391"/>
      <c r="F95" s="392"/>
      <c r="G95" s="120">
        <v>2.0000000000000001E-4</v>
      </c>
      <c r="H95" s="113">
        <f t="shared" si="1"/>
        <v>0.52</v>
      </c>
    </row>
    <row r="96" spans="1:11">
      <c r="A96" s="75" t="s">
        <v>6</v>
      </c>
      <c r="B96" s="390" t="s">
        <v>83</v>
      </c>
      <c r="C96" s="391"/>
      <c r="D96" s="391"/>
      <c r="E96" s="391"/>
      <c r="F96" s="392"/>
      <c r="G96" s="120">
        <v>3.3E-3</v>
      </c>
      <c r="H96" s="113">
        <f t="shared" si="1"/>
        <v>8.58</v>
      </c>
    </row>
    <row r="97" spans="1:8">
      <c r="A97" s="85" t="s">
        <v>7</v>
      </c>
      <c r="B97" s="390" t="s">
        <v>84</v>
      </c>
      <c r="C97" s="391"/>
      <c r="D97" s="391"/>
      <c r="E97" s="391"/>
      <c r="F97" s="392"/>
      <c r="G97" s="120">
        <v>5.5000000000000003E-4</v>
      </c>
      <c r="H97" s="113">
        <f t="shared" si="1"/>
        <v>1.4300000000000002</v>
      </c>
    </row>
    <row r="98" spans="1:8">
      <c r="A98" s="75" t="s">
        <v>8</v>
      </c>
      <c r="B98" s="121" t="s">
        <v>85</v>
      </c>
      <c r="C98" s="122"/>
      <c r="D98" s="122"/>
      <c r="E98" s="122"/>
      <c r="F98" s="123"/>
      <c r="G98" s="124">
        <v>0</v>
      </c>
      <c r="H98" s="113">
        <f t="shared" si="1"/>
        <v>0</v>
      </c>
    </row>
    <row r="99" spans="1:8" ht="15">
      <c r="A99" s="445" t="s">
        <v>86</v>
      </c>
      <c r="B99" s="391"/>
      <c r="C99" s="391"/>
      <c r="D99" s="391"/>
      <c r="E99" s="391"/>
      <c r="F99" s="392"/>
      <c r="G99" s="125">
        <f>SUM(G93:G98)</f>
        <v>0.11109999999999999</v>
      </c>
      <c r="H99" s="117">
        <f>SUM(H93:H98)</f>
        <v>288.85999999999996</v>
      </c>
    </row>
    <row r="100" spans="1:8">
      <c r="A100" s="85" t="s">
        <v>9</v>
      </c>
      <c r="B100" s="126" t="s">
        <v>87</v>
      </c>
      <c r="C100" s="127"/>
      <c r="D100" s="127"/>
      <c r="E100" s="127"/>
      <c r="F100" s="128"/>
      <c r="G100" s="120">
        <f>SUM(G93:G98)*G56</f>
        <v>4.0884799999999999E-2</v>
      </c>
      <c r="H100" s="113">
        <f>G100*$H$37</f>
        <v>106.30047999999999</v>
      </c>
    </row>
    <row r="101" spans="1:8" ht="15">
      <c r="A101" s="445" t="s">
        <v>86</v>
      </c>
      <c r="B101" s="391"/>
      <c r="C101" s="391"/>
      <c r="D101" s="391"/>
      <c r="E101" s="391"/>
      <c r="F101" s="392"/>
      <c r="G101" s="125">
        <f>SUM(G99:G100)</f>
        <v>0.15198479999999998</v>
      </c>
      <c r="H101" s="117">
        <f>SUM(H99:H100)</f>
        <v>395.16047999999995</v>
      </c>
    </row>
    <row r="102" spans="1:8">
      <c r="A102" s="446" t="s">
        <v>88</v>
      </c>
      <c r="B102" s="391"/>
      <c r="C102" s="391"/>
      <c r="D102" s="391"/>
      <c r="E102" s="391"/>
      <c r="F102" s="391"/>
      <c r="G102" s="392"/>
      <c r="H102" s="129">
        <f>($H$135+$H$136+$H$137)/30</f>
        <v>166.33030133333335</v>
      </c>
    </row>
    <row r="103" spans="1:8" ht="15">
      <c r="A103" s="95"/>
      <c r="B103" s="95"/>
      <c r="C103" s="95"/>
      <c r="D103" s="95"/>
      <c r="E103" s="95"/>
      <c r="F103" s="95"/>
      <c r="G103" s="95"/>
      <c r="H103" s="95"/>
    </row>
    <row r="104" spans="1:8">
      <c r="A104" s="439" t="s">
        <v>89</v>
      </c>
      <c r="B104" s="440"/>
      <c r="C104" s="440"/>
      <c r="D104" s="440"/>
      <c r="E104" s="440"/>
      <c r="F104" s="440"/>
      <c r="G104" s="440"/>
      <c r="H104" s="441"/>
    </row>
    <row r="105" spans="1:8" ht="15">
      <c r="A105" s="73">
        <v>4</v>
      </c>
      <c r="B105" s="393" t="s">
        <v>65</v>
      </c>
      <c r="C105" s="391"/>
      <c r="D105" s="391"/>
      <c r="E105" s="391"/>
      <c r="F105" s="391"/>
      <c r="G105" s="392"/>
      <c r="H105" s="73" t="s">
        <v>12</v>
      </c>
    </row>
    <row r="106" spans="1:8">
      <c r="A106" s="75" t="s">
        <v>77</v>
      </c>
      <c r="B106" s="431" t="s">
        <v>90</v>
      </c>
      <c r="C106" s="391"/>
      <c r="D106" s="391"/>
      <c r="E106" s="391"/>
      <c r="F106" s="391"/>
      <c r="G106" s="392"/>
      <c r="H106" s="96">
        <f>$H$101</f>
        <v>395.16047999999995</v>
      </c>
    </row>
    <row r="107" spans="1:8" ht="15">
      <c r="A107" s="106"/>
      <c r="B107" s="430" t="s">
        <v>68</v>
      </c>
      <c r="C107" s="391"/>
      <c r="D107" s="391"/>
      <c r="E107" s="391"/>
      <c r="F107" s="391"/>
      <c r="G107" s="392"/>
      <c r="H107" s="130">
        <f>SUM(H106)</f>
        <v>395.16047999999995</v>
      </c>
    </row>
    <row r="108" spans="1:8" ht="15">
      <c r="A108" s="95"/>
      <c r="B108" s="95"/>
      <c r="C108" s="95"/>
      <c r="D108" s="95"/>
      <c r="E108" s="95"/>
      <c r="F108" s="95"/>
      <c r="G108" s="95"/>
      <c r="H108" s="95"/>
    </row>
    <row r="109" spans="1:8" ht="15">
      <c r="A109" s="405" t="s">
        <v>91</v>
      </c>
      <c r="B109" s="401"/>
      <c r="C109" s="401"/>
      <c r="D109" s="401"/>
      <c r="E109" s="401"/>
      <c r="F109" s="401"/>
      <c r="G109" s="401"/>
      <c r="H109" s="401"/>
    </row>
    <row r="110" spans="1:8" ht="15">
      <c r="A110" s="73">
        <v>5</v>
      </c>
      <c r="B110" s="393" t="s">
        <v>92</v>
      </c>
      <c r="C110" s="391"/>
      <c r="D110" s="391"/>
      <c r="E110" s="391"/>
      <c r="F110" s="391"/>
      <c r="G110" s="392"/>
      <c r="H110" s="73" t="s">
        <v>12</v>
      </c>
    </row>
    <row r="111" spans="1:8">
      <c r="A111" s="75" t="s">
        <v>1</v>
      </c>
      <c r="B111" s="431" t="s">
        <v>93</v>
      </c>
      <c r="C111" s="391"/>
      <c r="D111" s="391"/>
      <c r="E111" s="391"/>
      <c r="F111" s="391"/>
      <c r="G111" s="392"/>
      <c r="H111" s="96">
        <f>'Insumos DIV VIGILANTE'!J18</f>
        <v>120.372</v>
      </c>
    </row>
    <row r="112" spans="1:8">
      <c r="A112" s="114" t="s">
        <v>3</v>
      </c>
      <c r="B112" s="410" t="s">
        <v>220</v>
      </c>
      <c r="C112" s="391"/>
      <c r="D112" s="391"/>
      <c r="E112" s="391"/>
      <c r="F112" s="391"/>
      <c r="G112" s="392"/>
      <c r="H112" s="131">
        <v>0</v>
      </c>
    </row>
    <row r="113" spans="1:8">
      <c r="A113" s="114" t="s">
        <v>5</v>
      </c>
      <c r="B113" s="410" t="s">
        <v>219</v>
      </c>
      <c r="C113" s="391"/>
      <c r="D113" s="391"/>
      <c r="E113" s="391"/>
      <c r="F113" s="391"/>
      <c r="G113" s="392"/>
      <c r="H113" s="131">
        <v>0</v>
      </c>
    </row>
    <row r="114" spans="1:8">
      <c r="A114" s="75" t="s">
        <v>6</v>
      </c>
      <c r="B114" s="526" t="s">
        <v>94</v>
      </c>
      <c r="C114" s="527"/>
      <c r="D114" s="527"/>
      <c r="E114" s="527"/>
      <c r="F114" s="527"/>
      <c r="G114" s="528"/>
      <c r="H114" s="283">
        <v>0</v>
      </c>
    </row>
    <row r="115" spans="1:8" ht="15">
      <c r="A115" s="106"/>
      <c r="B115" s="430" t="s">
        <v>68</v>
      </c>
      <c r="C115" s="391"/>
      <c r="D115" s="391"/>
      <c r="E115" s="391"/>
      <c r="F115" s="391"/>
      <c r="G115" s="392"/>
      <c r="H115" s="78">
        <f>SUM(H111:H114)</f>
        <v>120.372</v>
      </c>
    </row>
    <row r="116" spans="1:8" ht="32.25" customHeight="1">
      <c r="A116" s="448" t="s">
        <v>221</v>
      </c>
      <c r="B116" s="449"/>
      <c r="C116" s="449"/>
      <c r="D116" s="449"/>
      <c r="E116" s="449"/>
      <c r="F116" s="449"/>
      <c r="G116" s="449"/>
      <c r="H116" s="449"/>
    </row>
    <row r="117" spans="1:8">
      <c r="A117" s="132"/>
      <c r="B117" s="132"/>
      <c r="C117" s="132"/>
      <c r="D117" s="132"/>
      <c r="E117" s="132"/>
      <c r="F117" s="132"/>
      <c r="G117" s="132"/>
      <c r="H117" s="132"/>
    </row>
    <row r="118" spans="1:8">
      <c r="A118" s="442" t="s">
        <v>95</v>
      </c>
      <c r="B118" s="443"/>
      <c r="C118" s="443"/>
      <c r="D118" s="443"/>
      <c r="E118" s="443"/>
      <c r="F118" s="443"/>
      <c r="G118" s="443"/>
      <c r="H118" s="444"/>
    </row>
    <row r="119" spans="1:8" ht="15">
      <c r="A119" s="73">
        <v>6</v>
      </c>
      <c r="B119" s="447" t="s">
        <v>96</v>
      </c>
      <c r="C119" s="391"/>
      <c r="D119" s="391"/>
      <c r="E119" s="391"/>
      <c r="F119" s="392"/>
      <c r="G119" s="81" t="s">
        <v>52</v>
      </c>
      <c r="H119" s="73" t="s">
        <v>25</v>
      </c>
    </row>
    <row r="120" spans="1:8" ht="15">
      <c r="A120" s="21" t="s">
        <v>1</v>
      </c>
      <c r="B120" s="475" t="s">
        <v>222</v>
      </c>
      <c r="C120" s="391"/>
      <c r="D120" s="391"/>
      <c r="E120" s="391"/>
      <c r="F120" s="392"/>
      <c r="G120" s="285">
        <v>0.05</v>
      </c>
      <c r="H120" s="134">
        <f>$H$140*$G$120</f>
        <v>275.27207600000003</v>
      </c>
    </row>
    <row r="121" spans="1:8" ht="15">
      <c r="A121" s="21" t="s">
        <v>3</v>
      </c>
      <c r="B121" s="475" t="s">
        <v>21</v>
      </c>
      <c r="C121" s="391"/>
      <c r="D121" s="391"/>
      <c r="E121" s="391"/>
      <c r="F121" s="392"/>
      <c r="G121" s="286">
        <v>0.1</v>
      </c>
      <c r="H121" s="134">
        <f>($H$140+$H$120)*$G$121</f>
        <v>578.07135960000005</v>
      </c>
    </row>
    <row r="122" spans="1:8" ht="15">
      <c r="A122" s="21" t="s">
        <v>5</v>
      </c>
      <c r="B122" s="481" t="s">
        <v>22</v>
      </c>
      <c r="C122" s="391"/>
      <c r="D122" s="391"/>
      <c r="E122" s="391"/>
      <c r="F122" s="391"/>
      <c r="G122" s="391"/>
      <c r="H122" s="392"/>
    </row>
    <row r="123" spans="1:8">
      <c r="A123" s="136"/>
      <c r="B123" s="137" t="s">
        <v>97</v>
      </c>
      <c r="C123" s="138"/>
      <c r="D123" s="138"/>
      <c r="E123" s="138"/>
      <c r="F123" s="138"/>
      <c r="G123" s="22"/>
      <c r="H123" s="23"/>
    </row>
    <row r="124" spans="1:8">
      <c r="A124" s="75"/>
      <c r="B124" s="475" t="s">
        <v>24</v>
      </c>
      <c r="C124" s="391"/>
      <c r="D124" s="391"/>
      <c r="E124" s="391"/>
      <c r="F124" s="392"/>
      <c r="G124" s="139">
        <v>1.6500000000000001E-2</v>
      </c>
      <c r="H124" s="134">
        <f>($H$140+$H$120+$H$121)*$G$124/(1-$G$131)</f>
        <v>122.35562888326533</v>
      </c>
    </row>
    <row r="125" spans="1:8">
      <c r="A125" s="75"/>
      <c r="B125" s="475" t="s">
        <v>23</v>
      </c>
      <c r="C125" s="391"/>
      <c r="D125" s="391"/>
      <c r="E125" s="391"/>
      <c r="F125" s="392"/>
      <c r="G125" s="139">
        <v>7.5999999999999998E-2</v>
      </c>
      <c r="H125" s="134">
        <f>($H$140+$H$120+$H$121)*$G$125/(1-$G$131)</f>
        <v>563.57744212897967</v>
      </c>
    </row>
    <row r="126" spans="1:8">
      <c r="A126" s="75"/>
      <c r="B126" s="475" t="s">
        <v>98</v>
      </c>
      <c r="C126" s="391"/>
      <c r="D126" s="391"/>
      <c r="E126" s="391"/>
      <c r="F126" s="392"/>
      <c r="G126" s="139"/>
      <c r="H126" s="134">
        <f>(($H$140-$H$139)+$H$120+$H$121)*$G$126/(1-$G$131)</f>
        <v>0</v>
      </c>
    </row>
    <row r="127" spans="1:8">
      <c r="A127" s="136"/>
      <c r="B127" s="476" t="s">
        <v>99</v>
      </c>
      <c r="C127" s="391"/>
      <c r="D127" s="391"/>
      <c r="E127" s="391"/>
      <c r="F127" s="477"/>
      <c r="G127" s="140"/>
      <c r="H127" s="141"/>
    </row>
    <row r="128" spans="1:8">
      <c r="A128" s="75"/>
      <c r="B128" s="475" t="s">
        <v>100</v>
      </c>
      <c r="C128" s="391"/>
      <c r="D128" s="391"/>
      <c r="E128" s="391"/>
      <c r="F128" s="392"/>
      <c r="G128" s="139">
        <v>0.05</v>
      </c>
      <c r="H128" s="134">
        <f>($H$140+$H$120+$H$121)*$G$128/(1-$G$131)</f>
        <v>370.7746329795919</v>
      </c>
    </row>
    <row r="129" spans="1:12">
      <c r="A129" s="142"/>
      <c r="B129" s="137" t="s">
        <v>101</v>
      </c>
      <c r="C129" s="138"/>
      <c r="D129" s="138"/>
      <c r="E129" s="138"/>
      <c r="F129" s="138"/>
      <c r="G129" s="140"/>
      <c r="H129" s="141"/>
    </row>
    <row r="130" spans="1:12">
      <c r="A130" s="75"/>
      <c r="B130" s="476" t="s">
        <v>102</v>
      </c>
      <c r="C130" s="391"/>
      <c r="D130" s="391"/>
      <c r="E130" s="391"/>
      <c r="F130" s="477"/>
      <c r="G130" s="139"/>
      <c r="H130" s="134">
        <f>($H$140+$H$120+$H$121)*$G$130/(1-$G$131)</f>
        <v>0</v>
      </c>
    </row>
    <row r="131" spans="1:12" ht="15">
      <c r="A131" s="445" t="s">
        <v>103</v>
      </c>
      <c r="B131" s="477"/>
      <c r="C131" s="143"/>
      <c r="D131" s="143"/>
      <c r="E131" s="143"/>
      <c r="F131" s="143"/>
      <c r="G131" s="93">
        <f>$G$124+$G$125+$G$126+$G$128+$G$130</f>
        <v>0.14250000000000002</v>
      </c>
      <c r="H131" s="117">
        <f>H120+H121+H124+H125+H126+H128+H130</f>
        <v>1910.051139591837</v>
      </c>
    </row>
    <row r="132" spans="1:12" ht="15">
      <c r="A132" s="474"/>
      <c r="B132" s="474"/>
      <c r="C132" s="474"/>
      <c r="D132" s="474"/>
      <c r="E132" s="474"/>
      <c r="F132" s="474"/>
      <c r="G132" s="474"/>
      <c r="H132" s="474"/>
    </row>
    <row r="133" spans="1:12" ht="15">
      <c r="A133" s="411" t="s">
        <v>104</v>
      </c>
      <c r="B133" s="395"/>
      <c r="C133" s="395"/>
      <c r="D133" s="395"/>
      <c r="E133" s="395"/>
      <c r="F133" s="395"/>
      <c r="G133" s="395"/>
      <c r="H133" s="395"/>
    </row>
    <row r="134" spans="1:12" ht="15">
      <c r="A134" s="430" t="s">
        <v>105</v>
      </c>
      <c r="B134" s="391"/>
      <c r="C134" s="391"/>
      <c r="D134" s="391"/>
      <c r="E134" s="391"/>
      <c r="F134" s="391"/>
      <c r="G134" s="392"/>
      <c r="H134" s="73" t="s">
        <v>25</v>
      </c>
    </row>
    <row r="135" spans="1:12">
      <c r="A135" s="12" t="s">
        <v>1</v>
      </c>
      <c r="B135" s="406" t="s">
        <v>106</v>
      </c>
      <c r="C135" s="391"/>
      <c r="D135" s="391"/>
      <c r="E135" s="391"/>
      <c r="F135" s="391"/>
      <c r="G135" s="392"/>
      <c r="H135" s="144">
        <f>$H$37</f>
        <v>2600</v>
      </c>
    </row>
    <row r="136" spans="1:12">
      <c r="A136" s="12" t="s">
        <v>3</v>
      </c>
      <c r="B136" s="406" t="s">
        <v>107</v>
      </c>
      <c r="C136" s="391"/>
      <c r="D136" s="391"/>
      <c r="E136" s="391"/>
      <c r="F136" s="391"/>
      <c r="G136" s="392"/>
      <c r="H136" s="144">
        <f>$H$76</f>
        <v>2218.3590400000003</v>
      </c>
    </row>
    <row r="137" spans="1:12">
      <c r="A137" s="12" t="s">
        <v>5</v>
      </c>
      <c r="B137" s="406" t="s">
        <v>108</v>
      </c>
      <c r="C137" s="391"/>
      <c r="D137" s="391"/>
      <c r="E137" s="391"/>
      <c r="F137" s="391"/>
      <c r="G137" s="392"/>
      <c r="H137" s="144">
        <f>$H$86</f>
        <v>171.55</v>
      </c>
    </row>
    <row r="138" spans="1:12">
      <c r="A138" s="12" t="s">
        <v>6</v>
      </c>
      <c r="B138" s="406" t="s">
        <v>75</v>
      </c>
      <c r="C138" s="391"/>
      <c r="D138" s="391"/>
      <c r="E138" s="391"/>
      <c r="F138" s="391"/>
      <c r="G138" s="392"/>
      <c r="H138" s="144">
        <f>$H$107</f>
        <v>395.16047999999995</v>
      </c>
    </row>
    <row r="139" spans="1:12">
      <c r="A139" s="12" t="s">
        <v>109</v>
      </c>
      <c r="B139" s="406" t="s">
        <v>110</v>
      </c>
      <c r="C139" s="391"/>
      <c r="D139" s="391"/>
      <c r="E139" s="391"/>
      <c r="F139" s="391"/>
      <c r="G139" s="392"/>
      <c r="H139" s="144">
        <f>$H$115</f>
        <v>120.372</v>
      </c>
    </row>
    <row r="140" spans="1:12" ht="15">
      <c r="A140" s="470" t="s">
        <v>111</v>
      </c>
      <c r="B140" s="391"/>
      <c r="C140" s="391"/>
      <c r="D140" s="391"/>
      <c r="E140" s="391"/>
      <c r="F140" s="391"/>
      <c r="G140" s="392"/>
      <c r="H140" s="145">
        <f>SUM(H135:H139)</f>
        <v>5505.4415200000003</v>
      </c>
    </row>
    <row r="141" spans="1:12">
      <c r="A141" s="146" t="s">
        <v>8</v>
      </c>
      <c r="B141" s="471" t="s">
        <v>112</v>
      </c>
      <c r="C141" s="391"/>
      <c r="D141" s="391"/>
      <c r="E141" s="391"/>
      <c r="F141" s="391"/>
      <c r="G141" s="392"/>
      <c r="H141" s="147">
        <f>$H$131</f>
        <v>1910.051139591837</v>
      </c>
      <c r="J141" s="148"/>
    </row>
    <row r="142" spans="1:12" ht="15">
      <c r="A142" s="149"/>
      <c r="B142" s="430" t="s">
        <v>113</v>
      </c>
      <c r="C142" s="391"/>
      <c r="D142" s="391"/>
      <c r="E142" s="391"/>
      <c r="F142" s="391"/>
      <c r="G142" s="392"/>
      <c r="H142" s="150">
        <f>ROUND($H$140+$H$141,2)</f>
        <v>7415.49</v>
      </c>
      <c r="L142" s="148"/>
    </row>
    <row r="143" spans="1:12" ht="15">
      <c r="A143" s="472" t="s">
        <v>114</v>
      </c>
      <c r="B143" s="391"/>
      <c r="C143" s="391"/>
      <c r="D143" s="391"/>
      <c r="E143" s="391"/>
      <c r="F143" s="391"/>
      <c r="G143" s="392"/>
      <c r="H143" s="151">
        <f>$H$142/$H$37</f>
        <v>2.8521115384615383</v>
      </c>
      <c r="K143" s="148"/>
    </row>
    <row r="144" spans="1:12" ht="15">
      <c r="A144" s="95"/>
      <c r="B144" s="95"/>
      <c r="C144" s="95"/>
      <c r="D144" s="95"/>
      <c r="E144" s="95"/>
      <c r="F144" s="95"/>
      <c r="G144" s="95"/>
      <c r="H144" s="95"/>
      <c r="J144" s="148"/>
      <c r="K144" s="148"/>
    </row>
    <row r="146" spans="1:12" ht="15">
      <c r="A146" s="473" t="s">
        <v>115</v>
      </c>
      <c r="B146" s="391"/>
      <c r="C146" s="391"/>
      <c r="D146" s="391"/>
      <c r="E146" s="391"/>
      <c r="F146" s="392"/>
      <c r="G146" s="24"/>
      <c r="H146" s="24"/>
      <c r="I146" s="24"/>
      <c r="J146" s="24"/>
      <c r="K146" s="24"/>
      <c r="L146" s="24"/>
    </row>
    <row r="147" spans="1:12">
      <c r="A147" s="469" t="s">
        <v>210</v>
      </c>
      <c r="B147" s="467"/>
      <c r="C147" s="467"/>
      <c r="D147" s="467"/>
      <c r="E147" s="467"/>
      <c r="F147" s="468"/>
      <c r="G147" s="25"/>
      <c r="H147" s="25"/>
    </row>
    <row r="148" spans="1:12">
      <c r="A148" s="36" t="s">
        <v>116</v>
      </c>
      <c r="B148" s="26" t="s">
        <v>117</v>
      </c>
      <c r="C148" s="461" t="s">
        <v>118</v>
      </c>
      <c r="D148" s="459"/>
      <c r="E148" s="461" t="s">
        <v>86</v>
      </c>
      <c r="F148" s="454"/>
      <c r="H148" s="27"/>
    </row>
    <row r="149" spans="1:12">
      <c r="A149" s="28">
        <v>2</v>
      </c>
      <c r="B149" s="29">
        <v>4.3</v>
      </c>
      <c r="C149" s="458">
        <f>2*22</f>
        <v>44</v>
      </c>
      <c r="D149" s="459"/>
      <c r="E149" s="460">
        <f>B149*C149</f>
        <v>189.2</v>
      </c>
      <c r="F149" s="454"/>
      <c r="G149" s="30"/>
      <c r="H149" s="31"/>
    </row>
    <row r="150" spans="1:12">
      <c r="A150" s="32"/>
      <c r="B150" s="33"/>
      <c r="C150" s="33"/>
      <c r="D150" s="33"/>
      <c r="E150" s="33"/>
      <c r="F150" s="34"/>
      <c r="G150" s="35"/>
      <c r="H150" s="35"/>
    </row>
    <row r="151" spans="1:12">
      <c r="A151" s="36" t="s">
        <v>15</v>
      </c>
      <c r="B151" s="26" t="s">
        <v>119</v>
      </c>
      <c r="C151" s="461" t="s">
        <v>86</v>
      </c>
      <c r="D151" s="453"/>
      <c r="E151" s="453"/>
      <c r="F151" s="454"/>
      <c r="G151" s="27"/>
      <c r="H151" s="35"/>
    </row>
    <row r="152" spans="1:12">
      <c r="A152" s="37">
        <v>6</v>
      </c>
      <c r="B152" s="38">
        <f>H37</f>
        <v>2600</v>
      </c>
      <c r="C152" s="452">
        <f>B152*A152/100</f>
        <v>156</v>
      </c>
      <c r="D152" s="453"/>
      <c r="E152" s="453"/>
      <c r="F152" s="454"/>
      <c r="G152" s="39"/>
      <c r="H152" s="35"/>
    </row>
    <row r="153" spans="1:12">
      <c r="A153" s="32"/>
      <c r="B153" s="33"/>
      <c r="C153" s="33"/>
      <c r="D153" s="33"/>
      <c r="E153" s="33"/>
      <c r="F153" s="34"/>
      <c r="G153" s="35"/>
      <c r="H153" s="35"/>
    </row>
    <row r="154" spans="1:12" ht="15" thickBot="1">
      <c r="A154" s="462" t="s">
        <v>120</v>
      </c>
      <c r="B154" s="463"/>
      <c r="C154" s="463"/>
      <c r="D154" s="463"/>
      <c r="E154" s="463"/>
      <c r="F154" s="464"/>
      <c r="G154" s="40"/>
      <c r="H154" s="35"/>
    </row>
    <row r="155" spans="1:12" ht="15.75" thickBot="1">
      <c r="A155" s="41">
        <f>E149</f>
        <v>189.2</v>
      </c>
      <c r="B155" s="42">
        <f>C152</f>
        <v>156</v>
      </c>
      <c r="C155" s="465">
        <f>A155-B155</f>
        <v>33.199999999999989</v>
      </c>
      <c r="D155" s="397"/>
      <c r="E155" s="397"/>
      <c r="F155" s="398"/>
      <c r="G155" s="31"/>
      <c r="H155" s="43"/>
    </row>
    <row r="157" spans="1:1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5">
      <c r="A158" s="466" t="s">
        <v>211</v>
      </c>
      <c r="B158" s="467"/>
      <c r="C158" s="467"/>
      <c r="D158" s="467"/>
      <c r="E158" s="467"/>
      <c r="F158" s="468"/>
      <c r="G158" s="40"/>
      <c r="H158" s="40"/>
    </row>
    <row r="159" spans="1:12">
      <c r="A159" s="36" t="s">
        <v>116</v>
      </c>
      <c r="B159" s="26" t="s">
        <v>117</v>
      </c>
      <c r="C159" s="461" t="s">
        <v>118</v>
      </c>
      <c r="D159" s="459"/>
      <c r="E159" s="461" t="s">
        <v>121</v>
      </c>
      <c r="F159" s="454"/>
    </row>
    <row r="160" spans="1:12">
      <c r="A160" s="37">
        <v>1</v>
      </c>
      <c r="B160" s="44">
        <f>30*22</f>
        <v>660</v>
      </c>
      <c r="C160" s="458">
        <v>1</v>
      </c>
      <c r="D160" s="459"/>
      <c r="E160" s="460">
        <f>A160*B160*C160</f>
        <v>660</v>
      </c>
      <c r="F160" s="454"/>
      <c r="G160" s="27"/>
      <c r="H160" s="39"/>
    </row>
    <row r="161" spans="1:8">
      <c r="A161" s="32"/>
      <c r="B161" s="33">
        <f>30*22</f>
        <v>660</v>
      </c>
      <c r="C161" s="33"/>
      <c r="D161" s="33"/>
      <c r="E161" s="33"/>
      <c r="F161" s="34"/>
      <c r="G161" s="35"/>
      <c r="H161" s="35"/>
    </row>
    <row r="162" spans="1:8" ht="15">
      <c r="A162" s="36" t="s">
        <v>15</v>
      </c>
      <c r="B162" s="243" t="s">
        <v>338</v>
      </c>
      <c r="C162" s="461" t="s">
        <v>86</v>
      </c>
      <c r="D162" s="453"/>
      <c r="E162" s="453"/>
      <c r="F162" s="454"/>
      <c r="H162" s="35"/>
    </row>
    <row r="163" spans="1:8">
      <c r="A163" s="37">
        <v>11</v>
      </c>
      <c r="B163" s="38">
        <f>E160</f>
        <v>660</v>
      </c>
      <c r="C163" s="452">
        <f>B163*A163/100</f>
        <v>72.599999999999994</v>
      </c>
      <c r="D163" s="453"/>
      <c r="E163" s="453"/>
      <c r="F163" s="454"/>
      <c r="G163" s="39"/>
      <c r="H163" s="35"/>
    </row>
    <row r="164" spans="1:8">
      <c r="A164" s="32"/>
      <c r="B164" s="33"/>
      <c r="C164" s="33"/>
      <c r="D164" s="33"/>
      <c r="E164" s="33"/>
      <c r="F164" s="34"/>
      <c r="G164" s="35"/>
      <c r="H164" s="35"/>
    </row>
    <row r="165" spans="1:8" ht="15" thickBot="1">
      <c r="A165" s="455" t="s">
        <v>122</v>
      </c>
      <c r="B165" s="443"/>
      <c r="C165" s="443"/>
      <c r="D165" s="443"/>
      <c r="E165" s="443"/>
      <c r="F165" s="456"/>
      <c r="G165" s="40"/>
      <c r="H165" s="40"/>
    </row>
    <row r="166" spans="1:8" ht="15.75" thickBot="1">
      <c r="A166" s="41">
        <f>E160</f>
        <v>660</v>
      </c>
      <c r="B166" s="45">
        <f>C163</f>
        <v>72.599999999999994</v>
      </c>
      <c r="C166" s="457">
        <f>A166-B166</f>
        <v>587.4</v>
      </c>
      <c r="D166" s="397"/>
      <c r="E166" s="397"/>
      <c r="F166" s="398"/>
      <c r="G166" s="39"/>
      <c r="H166" s="43"/>
    </row>
    <row r="171" spans="1:8">
      <c r="D171" s="263" t="s">
        <v>400</v>
      </c>
    </row>
    <row r="174" spans="1:8" ht="15.75">
      <c r="B174" s="485" t="s">
        <v>294</v>
      </c>
      <c r="C174" s="485"/>
    </row>
    <row r="175" spans="1:8" ht="15.75">
      <c r="B175" s="486" t="s">
        <v>295</v>
      </c>
      <c r="C175" s="486"/>
    </row>
  </sheetData>
  <mergeCells count="132">
    <mergeCell ref="B174:C174"/>
    <mergeCell ref="B175:C175"/>
    <mergeCell ref="B8:G8"/>
    <mergeCell ref="B9:G9"/>
    <mergeCell ref="B10:G10"/>
    <mergeCell ref="B11:G11"/>
    <mergeCell ref="A15:H15"/>
    <mergeCell ref="A16:F16"/>
    <mergeCell ref="G16:H16"/>
    <mergeCell ref="G28:H28"/>
    <mergeCell ref="A30:H30"/>
    <mergeCell ref="B31:G31"/>
    <mergeCell ref="B43:F43"/>
    <mergeCell ref="B44:G44"/>
    <mergeCell ref="A46:H46"/>
    <mergeCell ref="B48:F48"/>
    <mergeCell ref="B49:F49"/>
    <mergeCell ref="B51:F51"/>
    <mergeCell ref="B32:G32"/>
    <mergeCell ref="B36:G36"/>
    <mergeCell ref="B37:G37"/>
    <mergeCell ref="A39:H39"/>
    <mergeCell ref="A40:H40"/>
    <mergeCell ref="B42:F42"/>
    <mergeCell ref="A1:H1"/>
    <mergeCell ref="A2:H2"/>
    <mergeCell ref="A3:H3"/>
    <mergeCell ref="G4:H4"/>
    <mergeCell ref="G5:H5"/>
    <mergeCell ref="A7:G7"/>
    <mergeCell ref="G25:H25"/>
    <mergeCell ref="G26:H26"/>
    <mergeCell ref="G27:H27"/>
    <mergeCell ref="A17:F17"/>
    <mergeCell ref="A21:H21"/>
    <mergeCell ref="A22:H22"/>
    <mergeCell ref="A23:H23"/>
    <mergeCell ref="G24:H24"/>
    <mergeCell ref="B61:G61"/>
    <mergeCell ref="B63:G63"/>
    <mergeCell ref="B64:G64"/>
    <mergeCell ref="B65:G65"/>
    <mergeCell ref="B68:G68"/>
    <mergeCell ref="B69:G69"/>
    <mergeCell ref="B52:F52"/>
    <mergeCell ref="B53:F53"/>
    <mergeCell ref="B54:F54"/>
    <mergeCell ref="B55:F55"/>
    <mergeCell ref="A59:H59"/>
    <mergeCell ref="B60:G60"/>
    <mergeCell ref="A78:H78"/>
    <mergeCell ref="B79:F79"/>
    <mergeCell ref="A86:G86"/>
    <mergeCell ref="A87:H87"/>
    <mergeCell ref="A88:H88"/>
    <mergeCell ref="A90:H90"/>
    <mergeCell ref="A71:H71"/>
    <mergeCell ref="B72:G72"/>
    <mergeCell ref="B73:G73"/>
    <mergeCell ref="B74:G74"/>
    <mergeCell ref="B75:G75"/>
    <mergeCell ref="B76:G76"/>
    <mergeCell ref="B97:F97"/>
    <mergeCell ref="A99:F99"/>
    <mergeCell ref="A101:F101"/>
    <mergeCell ref="A102:G102"/>
    <mergeCell ref="A104:H104"/>
    <mergeCell ref="B105:G105"/>
    <mergeCell ref="A91:H91"/>
    <mergeCell ref="B92:F92"/>
    <mergeCell ref="B93:F93"/>
    <mergeCell ref="B94:F94"/>
    <mergeCell ref="B95:F95"/>
    <mergeCell ref="B96:F96"/>
    <mergeCell ref="B113:G113"/>
    <mergeCell ref="B114:G114"/>
    <mergeCell ref="B115:G115"/>
    <mergeCell ref="A116:H116"/>
    <mergeCell ref="A118:H118"/>
    <mergeCell ref="B119:F119"/>
    <mergeCell ref="B106:G106"/>
    <mergeCell ref="B107:G107"/>
    <mergeCell ref="A109:H109"/>
    <mergeCell ref="B110:G110"/>
    <mergeCell ref="B111:G111"/>
    <mergeCell ref="B112:G112"/>
    <mergeCell ref="B127:F127"/>
    <mergeCell ref="B128:F128"/>
    <mergeCell ref="B130:F130"/>
    <mergeCell ref="A131:B131"/>
    <mergeCell ref="A133:H133"/>
    <mergeCell ref="A134:G134"/>
    <mergeCell ref="B120:F120"/>
    <mergeCell ref="B121:F121"/>
    <mergeCell ref="B122:H122"/>
    <mergeCell ref="B124:F124"/>
    <mergeCell ref="B125:F125"/>
    <mergeCell ref="B126:F126"/>
    <mergeCell ref="A132:H132"/>
    <mergeCell ref="A147:F147"/>
    <mergeCell ref="C148:D148"/>
    <mergeCell ref="E148:F148"/>
    <mergeCell ref="B135:G135"/>
    <mergeCell ref="B136:G136"/>
    <mergeCell ref="B137:G137"/>
    <mergeCell ref="B138:G138"/>
    <mergeCell ref="B139:G139"/>
    <mergeCell ref="A140:G140"/>
    <mergeCell ref="C163:F163"/>
    <mergeCell ref="A165:F165"/>
    <mergeCell ref="C166:F166"/>
    <mergeCell ref="G17:H17"/>
    <mergeCell ref="A18:F18"/>
    <mergeCell ref="G18:H18"/>
    <mergeCell ref="B33:G33"/>
    <mergeCell ref="A19:H19"/>
    <mergeCell ref="A158:F158"/>
    <mergeCell ref="C159:D159"/>
    <mergeCell ref="E159:F159"/>
    <mergeCell ref="C160:D160"/>
    <mergeCell ref="E160:F160"/>
    <mergeCell ref="C162:F162"/>
    <mergeCell ref="C149:D149"/>
    <mergeCell ref="E149:F149"/>
    <mergeCell ref="C151:F151"/>
    <mergeCell ref="C152:F152"/>
    <mergeCell ref="A154:F154"/>
    <mergeCell ref="C155:F155"/>
    <mergeCell ref="B141:G141"/>
    <mergeCell ref="B142:G142"/>
    <mergeCell ref="A143:G143"/>
    <mergeCell ref="A146:F146"/>
  </mergeCells>
  <pageMargins left="0.511811024" right="0.511811024" top="0.78740157499999996" bottom="0.78740157499999996" header="0.31496062000000002" footer="0.31496062000000002"/>
  <pageSetup paperSize="9" scale="4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B1028"/>
  <sheetViews>
    <sheetView zoomScaleNormal="100" workbookViewId="0">
      <selection activeCell="A25" sqref="A25:XFD27"/>
    </sheetView>
  </sheetViews>
  <sheetFormatPr defaultColWidth="0" defaultRowHeight="15" zeroHeight="1"/>
  <cols>
    <col min="1" max="1" width="7.28515625" style="9" customWidth="1"/>
    <col min="2" max="2" width="37.5703125" style="9" customWidth="1"/>
    <col min="3" max="3" width="9.85546875" style="9" bestFit="1" customWidth="1"/>
    <col min="4" max="4" width="13" style="9" customWidth="1"/>
    <col min="5" max="6" width="15.28515625" style="9" customWidth="1"/>
    <col min="7" max="7" width="27.7109375" style="9" customWidth="1"/>
    <col min="8" max="8" width="15.28515625" style="9" customWidth="1"/>
    <col min="9" max="9" width="13.85546875" style="9" customWidth="1"/>
    <col min="10" max="10" width="17.140625" style="9" customWidth="1"/>
    <col min="11" max="11" width="2.140625" style="9" customWidth="1"/>
    <col min="12" max="28" width="8.7109375" style="9" hidden="1" customWidth="1"/>
    <col min="29" max="16384" width="14.42578125" style="9" hidden="1"/>
  </cols>
  <sheetData>
    <row r="1" spans="1:10" ht="15.75">
      <c r="A1" s="550" t="s">
        <v>402</v>
      </c>
      <c r="B1" s="550"/>
      <c r="C1" s="550"/>
      <c r="D1" s="550"/>
      <c r="E1" s="550"/>
      <c r="F1" s="550"/>
      <c r="G1" s="550"/>
      <c r="H1" s="550"/>
      <c r="I1" s="550"/>
      <c r="J1" s="550"/>
    </row>
    <row r="2" spans="1:10" ht="15.75">
      <c r="A2" s="550" t="s">
        <v>327</v>
      </c>
      <c r="B2" s="550"/>
      <c r="C2" s="550"/>
      <c r="D2" s="550"/>
      <c r="E2" s="550"/>
      <c r="F2" s="550"/>
      <c r="G2" s="550"/>
      <c r="H2" s="550"/>
      <c r="I2" s="550"/>
      <c r="J2" s="550"/>
    </row>
    <row r="3" spans="1:10" ht="15.75">
      <c r="A3" s="246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552" t="s">
        <v>143</v>
      </c>
      <c r="B4" s="553"/>
      <c r="C4" s="553"/>
      <c r="D4" s="553"/>
      <c r="E4" s="553"/>
      <c r="F4" s="553"/>
      <c r="G4" s="553"/>
      <c r="H4" s="553"/>
      <c r="I4" s="553"/>
      <c r="J4" s="554"/>
    </row>
    <row r="5" spans="1:10" ht="78.75">
      <c r="A5" s="555" t="s">
        <v>135</v>
      </c>
      <c r="B5" s="555" t="s">
        <v>134</v>
      </c>
      <c r="C5" s="555" t="s">
        <v>349</v>
      </c>
      <c r="D5" s="555" t="s">
        <v>133</v>
      </c>
      <c r="E5" s="555" t="s">
        <v>293</v>
      </c>
      <c r="F5" s="235" t="s">
        <v>309</v>
      </c>
      <c r="G5" s="197" t="s">
        <v>304</v>
      </c>
      <c r="H5" s="555" t="s">
        <v>138</v>
      </c>
      <c r="I5" s="555" t="s">
        <v>137</v>
      </c>
      <c r="J5" s="555" t="s">
        <v>298</v>
      </c>
    </row>
    <row r="6" spans="1:10" ht="31.5">
      <c r="A6" s="555"/>
      <c r="B6" s="555"/>
      <c r="C6" s="555"/>
      <c r="D6" s="555"/>
      <c r="E6" s="555"/>
      <c r="F6" s="236" t="s">
        <v>308</v>
      </c>
      <c r="G6" s="198" t="s">
        <v>310</v>
      </c>
      <c r="H6" s="555"/>
      <c r="I6" s="555"/>
      <c r="J6" s="555"/>
    </row>
    <row r="7" spans="1:10" ht="47.25" customHeight="1">
      <c r="A7" s="329">
        <v>1</v>
      </c>
      <c r="B7" s="254" t="s">
        <v>386</v>
      </c>
      <c r="C7" s="262">
        <v>614124</v>
      </c>
      <c r="D7" s="329" t="s">
        <v>140</v>
      </c>
      <c r="E7" s="549">
        <v>4</v>
      </c>
      <c r="F7" s="278">
        <v>89.95</v>
      </c>
      <c r="G7" s="278">
        <v>144</v>
      </c>
      <c r="H7" s="255">
        <f>STDEVA(F7:G7)/AVERAGE(F7:G7)</f>
        <v>0.3267289722003246</v>
      </c>
      <c r="I7" s="256">
        <f>ROUND(AVERAGE(F7:G7),2)</f>
        <v>116.98</v>
      </c>
      <c r="J7" s="256">
        <f>I7*E7</f>
        <v>467.92</v>
      </c>
    </row>
    <row r="8" spans="1:10" ht="42.75">
      <c r="A8" s="329"/>
      <c r="B8" s="254" t="s">
        <v>387</v>
      </c>
      <c r="C8" s="262">
        <v>240073</v>
      </c>
      <c r="D8" s="329"/>
      <c r="E8" s="549"/>
      <c r="F8" s="278">
        <v>457.46</v>
      </c>
      <c r="G8" s="278">
        <v>405.95</v>
      </c>
      <c r="H8" s="255">
        <f t="shared" ref="H8:H14" si="0">STDEVA(F8:G8)/AVERAGE(F8:G8)</f>
        <v>8.4370276691071583E-2</v>
      </c>
      <c r="I8" s="256">
        <f t="shared" ref="I8:I14" si="1">ROUND(AVERAGE(F8:G8),2)</f>
        <v>431.71</v>
      </c>
      <c r="J8" s="256">
        <f>I8*E7</f>
        <v>1726.84</v>
      </c>
    </row>
    <row r="9" spans="1:10">
      <c r="A9" s="262">
        <v>2</v>
      </c>
      <c r="B9" s="254" t="s">
        <v>328</v>
      </c>
      <c r="C9" s="262">
        <v>603607</v>
      </c>
      <c r="D9" s="262" t="s">
        <v>140</v>
      </c>
      <c r="E9" s="270">
        <v>4</v>
      </c>
      <c r="F9" s="278">
        <v>33.5</v>
      </c>
      <c r="G9" s="278">
        <v>59.66</v>
      </c>
      <c r="H9" s="255">
        <f t="shared" si="0"/>
        <v>0.39712136959725397</v>
      </c>
      <c r="I9" s="256">
        <f t="shared" si="1"/>
        <v>46.58</v>
      </c>
      <c r="J9" s="256">
        <f t="shared" ref="J9:J14" si="2">I9*E9</f>
        <v>186.32</v>
      </c>
    </row>
    <row r="10" spans="1:10" s="271" customFormat="1" ht="42.75">
      <c r="A10" s="262">
        <v>3</v>
      </c>
      <c r="B10" s="269" t="s">
        <v>367</v>
      </c>
      <c r="C10" s="262">
        <v>600665</v>
      </c>
      <c r="D10" s="262" t="s">
        <v>140</v>
      </c>
      <c r="E10" s="270">
        <v>4</v>
      </c>
      <c r="F10" s="278">
        <v>89.5</v>
      </c>
      <c r="G10" s="278">
        <v>143.19</v>
      </c>
      <c r="H10" s="255">
        <f t="shared" si="0"/>
        <v>0.32631022460703707</v>
      </c>
      <c r="I10" s="256">
        <f t="shared" si="1"/>
        <v>116.35</v>
      </c>
      <c r="J10" s="256">
        <f t="shared" si="2"/>
        <v>465.4</v>
      </c>
    </row>
    <row r="11" spans="1:10" s="271" customFormat="1" ht="42.75">
      <c r="A11" s="262">
        <v>4</v>
      </c>
      <c r="B11" s="269" t="s">
        <v>368</v>
      </c>
      <c r="C11" s="262">
        <v>382962</v>
      </c>
      <c r="D11" s="262" t="s">
        <v>140</v>
      </c>
      <c r="E11" s="270">
        <v>2</v>
      </c>
      <c r="F11" s="278">
        <v>72.5</v>
      </c>
      <c r="G11" s="278">
        <v>72.12</v>
      </c>
      <c r="H11" s="255">
        <f t="shared" si="0"/>
        <v>3.7159532132607499E-3</v>
      </c>
      <c r="I11" s="256">
        <f t="shared" si="1"/>
        <v>72.31</v>
      </c>
      <c r="J11" s="256">
        <f t="shared" si="2"/>
        <v>144.62</v>
      </c>
    </row>
    <row r="12" spans="1:10" s="271" customFormat="1">
      <c r="A12" s="262">
        <v>5</v>
      </c>
      <c r="B12" s="269" t="s">
        <v>369</v>
      </c>
      <c r="C12" s="262">
        <v>463850</v>
      </c>
      <c r="D12" s="262" t="s">
        <v>140</v>
      </c>
      <c r="E12" s="270">
        <v>4</v>
      </c>
      <c r="F12" s="278">
        <v>11.5</v>
      </c>
      <c r="G12" s="278">
        <v>26.6</v>
      </c>
      <c r="H12" s="255">
        <f t="shared" si="0"/>
        <v>0.56048883968067542</v>
      </c>
      <c r="I12" s="256">
        <f t="shared" si="1"/>
        <v>19.05</v>
      </c>
      <c r="J12" s="256">
        <f t="shared" si="2"/>
        <v>76.2</v>
      </c>
    </row>
    <row r="13" spans="1:10" s="271" customFormat="1" ht="42.75">
      <c r="A13" s="262">
        <v>6</v>
      </c>
      <c r="B13" s="269" t="s">
        <v>377</v>
      </c>
      <c r="C13" s="262">
        <v>614123</v>
      </c>
      <c r="D13" s="262" t="s">
        <v>140</v>
      </c>
      <c r="E13" s="270">
        <v>2</v>
      </c>
      <c r="F13" s="278">
        <v>296.89999999999998</v>
      </c>
      <c r="G13" s="278">
        <v>246.95</v>
      </c>
      <c r="H13" s="255">
        <f t="shared" si="0"/>
        <v>0.12988869622237031</v>
      </c>
      <c r="I13" s="256">
        <f t="shared" si="1"/>
        <v>271.93</v>
      </c>
      <c r="J13" s="256">
        <f t="shared" si="2"/>
        <v>543.86</v>
      </c>
    </row>
    <row r="14" spans="1:10" s="271" customFormat="1">
      <c r="A14" s="262">
        <v>7</v>
      </c>
      <c r="B14" s="269" t="s">
        <v>348</v>
      </c>
      <c r="C14" s="262">
        <v>10111</v>
      </c>
      <c r="D14" s="262" t="s">
        <v>140</v>
      </c>
      <c r="E14" s="270">
        <v>2</v>
      </c>
      <c r="F14" s="278">
        <v>7.88</v>
      </c>
      <c r="G14" s="278">
        <v>26.96</v>
      </c>
      <c r="H14" s="255">
        <f t="shared" si="0"/>
        <v>0.77448894288400227</v>
      </c>
      <c r="I14" s="256">
        <f t="shared" si="1"/>
        <v>17.420000000000002</v>
      </c>
      <c r="J14" s="256">
        <f t="shared" si="2"/>
        <v>34.840000000000003</v>
      </c>
    </row>
    <row r="15" spans="1:10" ht="15.75">
      <c r="A15" s="550" t="s">
        <v>350</v>
      </c>
      <c r="B15" s="550"/>
      <c r="C15" s="550"/>
      <c r="D15" s="550"/>
      <c r="E15" s="550"/>
      <c r="F15" s="550"/>
      <c r="G15" s="550"/>
      <c r="H15" s="550"/>
      <c r="I15" s="551">
        <f>SUM(J7:J13)</f>
        <v>3611.16</v>
      </c>
      <c r="J15" s="551"/>
    </row>
    <row r="16" spans="1:10" ht="15.75">
      <c r="A16" s="540" t="s">
        <v>144</v>
      </c>
      <c r="B16" s="541"/>
      <c r="C16" s="541"/>
      <c r="D16" s="541"/>
      <c r="E16" s="541"/>
      <c r="F16" s="541"/>
      <c r="G16" s="541"/>
      <c r="H16" s="542"/>
      <c r="I16" s="543">
        <f>I15/30</f>
        <v>120.372</v>
      </c>
      <c r="J16" s="544"/>
    </row>
    <row r="17" spans="1:10">
      <c r="A17" s="545" t="s">
        <v>329</v>
      </c>
      <c r="B17" s="546"/>
      <c r="C17" s="546"/>
      <c r="D17" s="546"/>
      <c r="E17" s="546"/>
      <c r="F17" s="546"/>
      <c r="G17" s="546"/>
      <c r="H17" s="546"/>
      <c r="I17" s="547"/>
      <c r="J17" s="249">
        <v>1</v>
      </c>
    </row>
    <row r="18" spans="1:10">
      <c r="A18" s="545" t="s">
        <v>180</v>
      </c>
      <c r="B18" s="546"/>
      <c r="C18" s="546"/>
      <c r="D18" s="546"/>
      <c r="E18" s="546"/>
      <c r="F18" s="546"/>
      <c r="G18" s="546"/>
      <c r="H18" s="546"/>
      <c r="I18" s="547"/>
      <c r="J18" s="250">
        <f>I16/J17</f>
        <v>120.372</v>
      </c>
    </row>
    <row r="19" spans="1:10" ht="15.75">
      <c r="A19" s="247"/>
      <c r="B19" s="248"/>
      <c r="C19" s="248"/>
      <c r="D19" s="248"/>
      <c r="E19" s="248"/>
      <c r="F19" s="248"/>
      <c r="G19" s="248"/>
    </row>
    <row r="20" spans="1:10">
      <c r="B20" s="201"/>
      <c r="C20" s="201"/>
      <c r="D20" s="201"/>
      <c r="E20" s="201"/>
      <c r="F20" s="201"/>
      <c r="G20" s="201"/>
    </row>
    <row r="21" spans="1:10" ht="15.75">
      <c r="B21" s="196" t="s">
        <v>123</v>
      </c>
    </row>
    <row r="22" spans="1:10">
      <c r="B22" s="9" t="s">
        <v>124</v>
      </c>
    </row>
    <row r="23" spans="1:10" ht="33" customHeight="1">
      <c r="B23" s="494" t="s">
        <v>125</v>
      </c>
      <c r="C23" s="494"/>
      <c r="D23" s="548"/>
      <c r="E23" s="548"/>
      <c r="F23" s="548"/>
      <c r="G23" s="548"/>
    </row>
    <row r="24" spans="1:10">
      <c r="B24" s="9" t="s">
        <v>330</v>
      </c>
      <c r="H24" s="10"/>
      <c r="I24" s="251"/>
    </row>
    <row r="25" spans="1:10">
      <c r="H25" s="10" t="s">
        <v>400</v>
      </c>
    </row>
    <row r="26" spans="1:10"/>
    <row r="27" spans="1:10" s="10" customFormat="1" ht="14.25"/>
    <row r="28" spans="1:10" s="10" customFormat="1" ht="14.25"/>
    <row r="29" spans="1:10" s="10" customFormat="1" ht="15.75">
      <c r="D29" s="265" t="s">
        <v>294</v>
      </c>
      <c r="E29" s="265"/>
    </row>
    <row r="30" spans="1:10" ht="15.75">
      <c r="D30" s="266" t="s">
        <v>295</v>
      </c>
      <c r="E30" s="266"/>
    </row>
    <row r="31" spans="1:10"/>
    <row r="32" spans="1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</sheetData>
  <mergeCells count="21">
    <mergeCell ref="A1:J1"/>
    <mergeCell ref="A2:J2"/>
    <mergeCell ref="A4:J4"/>
    <mergeCell ref="A5:A6"/>
    <mergeCell ref="B5:B6"/>
    <mergeCell ref="D5:D6"/>
    <mergeCell ref="E5:E6"/>
    <mergeCell ref="H5:H6"/>
    <mergeCell ref="I5:I6"/>
    <mergeCell ref="J5:J6"/>
    <mergeCell ref="C5:C6"/>
    <mergeCell ref="A7:A8"/>
    <mergeCell ref="D7:D8"/>
    <mergeCell ref="E7:E8"/>
    <mergeCell ref="A15:H15"/>
    <mergeCell ref="I15:J15"/>
    <mergeCell ref="A16:H16"/>
    <mergeCell ref="I16:J16"/>
    <mergeCell ref="A17:I17"/>
    <mergeCell ref="A18:I18"/>
    <mergeCell ref="B23:G23"/>
  </mergeCells>
  <pageMargins left="0.511811024" right="0.511811024" top="0.78740157499999996" bottom="0.78740157499999996" header="0.31496062000000002" footer="0.31496062000000002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M174"/>
  <sheetViews>
    <sheetView zoomScaleNormal="100" workbookViewId="0">
      <selection activeCell="C41" sqref="C41"/>
    </sheetView>
  </sheetViews>
  <sheetFormatPr defaultColWidth="14.42578125" defaultRowHeight="14.25"/>
  <cols>
    <col min="1" max="1" width="17.42578125" style="10" customWidth="1"/>
    <col min="2" max="2" width="61.5703125" style="10" customWidth="1"/>
    <col min="3" max="3" width="14.42578125" style="10" customWidth="1"/>
    <col min="4" max="4" width="13" style="10" customWidth="1"/>
    <col min="5" max="5" width="13.42578125" style="10" customWidth="1"/>
    <col min="6" max="6" width="13.7109375" style="10" customWidth="1"/>
    <col min="7" max="7" width="18.7109375" style="10" customWidth="1"/>
    <col min="8" max="8" width="20.140625" style="10" customWidth="1"/>
    <col min="9" max="9" width="20.42578125" style="10" customWidth="1"/>
    <col min="10" max="10" width="14.85546875" style="10" customWidth="1"/>
    <col min="11" max="11" width="15.7109375" style="10" customWidth="1"/>
    <col min="12" max="12" width="18.140625" style="10" customWidth="1"/>
    <col min="13" max="13" width="19.5703125" style="10" customWidth="1"/>
    <col min="14" max="26" width="8.7109375" style="10" customWidth="1"/>
    <col min="27" max="16384" width="14.42578125" style="10"/>
  </cols>
  <sheetData>
    <row r="1" spans="1:9" ht="15.75" thickBot="1">
      <c r="A1" s="396" t="s">
        <v>403</v>
      </c>
      <c r="B1" s="397"/>
      <c r="C1" s="397"/>
      <c r="D1" s="397"/>
      <c r="E1" s="397"/>
      <c r="F1" s="397"/>
      <c r="G1" s="397"/>
      <c r="H1" s="398"/>
    </row>
    <row r="2" spans="1:9" ht="15.75" thickBot="1">
      <c r="A2" s="399" t="s">
        <v>285</v>
      </c>
      <c r="B2" s="397"/>
      <c r="C2" s="397"/>
      <c r="D2" s="397"/>
      <c r="E2" s="397"/>
      <c r="F2" s="397"/>
      <c r="G2" s="397"/>
      <c r="H2" s="398"/>
    </row>
    <row r="3" spans="1:9">
      <c r="A3" s="400" t="s">
        <v>26</v>
      </c>
      <c r="B3" s="401"/>
      <c r="C3" s="401"/>
      <c r="D3" s="401"/>
      <c r="E3" s="401"/>
      <c r="F3" s="401"/>
      <c r="G3" s="401"/>
      <c r="H3" s="401"/>
      <c r="I3" s="46"/>
    </row>
    <row r="4" spans="1:9" ht="15">
      <c r="A4" s="47"/>
      <c r="B4" s="48" t="s">
        <v>212</v>
      </c>
      <c r="C4" s="49"/>
      <c r="D4" s="49"/>
      <c r="E4" s="49"/>
      <c r="F4" s="50"/>
      <c r="G4" s="402" t="s">
        <v>289</v>
      </c>
      <c r="H4" s="403"/>
    </row>
    <row r="5" spans="1:9" ht="15">
      <c r="A5" s="47"/>
      <c r="B5" s="48" t="s">
        <v>27</v>
      </c>
      <c r="C5" s="49"/>
      <c r="D5" s="49"/>
      <c r="E5" s="49"/>
      <c r="F5" s="50"/>
      <c r="G5" s="404" t="s">
        <v>385</v>
      </c>
      <c r="H5" s="403"/>
    </row>
    <row r="6" spans="1:9">
      <c r="A6" s="51"/>
      <c r="B6" s="51"/>
      <c r="C6" s="51"/>
      <c r="D6" s="51"/>
      <c r="E6" s="51"/>
      <c r="F6" s="51"/>
      <c r="G6" s="13"/>
    </row>
    <row r="7" spans="1:9" ht="15">
      <c r="A7" s="405" t="s">
        <v>0</v>
      </c>
      <c r="B7" s="401"/>
      <c r="C7" s="401"/>
      <c r="D7" s="401"/>
      <c r="E7" s="401"/>
      <c r="F7" s="401"/>
      <c r="G7" s="401"/>
    </row>
    <row r="8" spans="1:9" ht="15">
      <c r="A8" s="52" t="s">
        <v>1</v>
      </c>
      <c r="B8" s="406" t="s">
        <v>2</v>
      </c>
      <c r="C8" s="391"/>
      <c r="D8" s="391"/>
      <c r="E8" s="391"/>
      <c r="F8" s="391"/>
      <c r="G8" s="392"/>
      <c r="H8" s="53"/>
    </row>
    <row r="9" spans="1:9" ht="15">
      <c r="A9" s="52" t="s">
        <v>3</v>
      </c>
      <c r="B9" s="406" t="s">
        <v>4</v>
      </c>
      <c r="C9" s="391"/>
      <c r="D9" s="391"/>
      <c r="E9" s="391"/>
      <c r="F9" s="391"/>
      <c r="G9" s="392"/>
      <c r="H9" s="2" t="s">
        <v>284</v>
      </c>
    </row>
    <row r="10" spans="1:9" ht="15">
      <c r="A10" s="52" t="s">
        <v>5</v>
      </c>
      <c r="B10" s="407" t="s">
        <v>234</v>
      </c>
      <c r="C10" s="408"/>
      <c r="D10" s="408"/>
      <c r="E10" s="408"/>
      <c r="F10" s="408"/>
      <c r="G10" s="409"/>
      <c r="H10" s="3" t="s">
        <v>331</v>
      </c>
    </row>
    <row r="11" spans="1:9" ht="15">
      <c r="A11" s="52" t="s">
        <v>6</v>
      </c>
      <c r="B11" s="406" t="s">
        <v>213</v>
      </c>
      <c r="C11" s="391"/>
      <c r="D11" s="391"/>
      <c r="E11" s="391"/>
      <c r="F11" s="391"/>
      <c r="G11" s="392"/>
      <c r="H11" s="1">
        <v>12</v>
      </c>
    </row>
    <row r="12" spans="1:9" ht="15">
      <c r="A12" s="187" t="s">
        <v>290</v>
      </c>
      <c r="B12" s="184"/>
      <c r="C12" s="185"/>
      <c r="D12" s="185"/>
      <c r="E12" s="185"/>
      <c r="F12" s="185"/>
      <c r="G12" s="185"/>
      <c r="H12" s="186"/>
    </row>
    <row r="13" spans="1:9" ht="15">
      <c r="A13" s="187" t="s">
        <v>291</v>
      </c>
      <c r="B13" s="184"/>
      <c r="C13" s="185"/>
      <c r="D13" s="185"/>
      <c r="E13" s="185"/>
      <c r="F13" s="185"/>
      <c r="G13" s="185"/>
      <c r="H13" s="186"/>
    </row>
    <row r="14" spans="1:9" ht="15">
      <c r="A14" s="54"/>
      <c r="B14" s="51"/>
      <c r="C14" s="51"/>
      <c r="D14" s="51"/>
      <c r="E14" s="51"/>
      <c r="F14" s="51"/>
      <c r="G14" s="55"/>
    </row>
    <row r="15" spans="1:9" ht="15.75">
      <c r="A15" s="538" t="s">
        <v>28</v>
      </c>
      <c r="B15" s="539"/>
      <c r="C15" s="539"/>
      <c r="D15" s="539"/>
      <c r="E15" s="539"/>
      <c r="F15" s="539"/>
      <c r="G15" s="539"/>
      <c r="H15" s="539"/>
    </row>
    <row r="16" spans="1:9" ht="14.25" customHeight="1">
      <c r="A16" s="531" t="s">
        <v>29</v>
      </c>
      <c r="B16" s="532"/>
      <c r="C16" s="532"/>
      <c r="D16" s="532"/>
      <c r="E16" s="532"/>
      <c r="F16" s="530"/>
      <c r="G16" s="529" t="s">
        <v>332</v>
      </c>
      <c r="H16" s="530"/>
    </row>
    <row r="17" spans="1:8" ht="15" customHeight="1">
      <c r="A17" s="531" t="s">
        <v>30</v>
      </c>
      <c r="B17" s="532"/>
      <c r="C17" s="532"/>
      <c r="D17" s="532"/>
      <c r="E17" s="532"/>
      <c r="F17" s="530"/>
      <c r="G17" s="529" t="s">
        <v>333</v>
      </c>
      <c r="H17" s="530"/>
    </row>
    <row r="18" spans="1:8" ht="14.25" customHeight="1">
      <c r="A18" s="531" t="s">
        <v>31</v>
      </c>
      <c r="B18" s="532"/>
      <c r="C18" s="532"/>
      <c r="D18" s="532"/>
      <c r="E18" s="532"/>
      <c r="F18" s="530"/>
      <c r="G18" s="533">
        <v>1</v>
      </c>
      <c r="H18" s="530"/>
    </row>
    <row r="19" spans="1:8" ht="14.25" customHeight="1">
      <c r="A19" s="537" t="s">
        <v>345</v>
      </c>
      <c r="B19" s="537"/>
      <c r="C19" s="537"/>
      <c r="D19" s="537"/>
      <c r="E19" s="537"/>
      <c r="F19" s="537"/>
      <c r="G19" s="537"/>
      <c r="H19" s="537"/>
    </row>
    <row r="20" spans="1:8">
      <c r="A20" s="57"/>
      <c r="B20" s="57"/>
      <c r="C20" s="57"/>
      <c r="D20" s="57"/>
      <c r="E20" s="57"/>
      <c r="F20" s="57"/>
      <c r="G20" s="13"/>
      <c r="H20" s="13"/>
    </row>
    <row r="21" spans="1:8" ht="15">
      <c r="A21" s="405" t="s">
        <v>32</v>
      </c>
      <c r="B21" s="401"/>
      <c r="C21" s="401"/>
      <c r="D21" s="401"/>
      <c r="E21" s="401"/>
      <c r="F21" s="401"/>
      <c r="G21" s="401"/>
      <c r="H21" s="401"/>
    </row>
    <row r="22" spans="1:8" ht="15">
      <c r="A22" s="417" t="s">
        <v>33</v>
      </c>
      <c r="B22" s="401"/>
      <c r="C22" s="401"/>
      <c r="D22" s="401"/>
      <c r="E22" s="401"/>
      <c r="F22" s="401"/>
      <c r="G22" s="401"/>
      <c r="H22" s="401"/>
    </row>
    <row r="23" spans="1:8" ht="15">
      <c r="A23" s="418" t="s">
        <v>34</v>
      </c>
      <c r="B23" s="391"/>
      <c r="C23" s="391"/>
      <c r="D23" s="391"/>
      <c r="E23" s="391"/>
      <c r="F23" s="391"/>
      <c r="G23" s="391"/>
      <c r="H23" s="392"/>
    </row>
    <row r="24" spans="1:8" ht="16.5" customHeight="1">
      <c r="A24" s="52">
        <v>1</v>
      </c>
      <c r="B24" s="156" t="s">
        <v>35</v>
      </c>
      <c r="C24" s="59"/>
      <c r="D24" s="59"/>
      <c r="E24" s="59"/>
      <c r="F24" s="60"/>
      <c r="G24" s="419" t="s">
        <v>335</v>
      </c>
      <c r="H24" s="420"/>
    </row>
    <row r="25" spans="1:8" ht="15">
      <c r="A25" s="61">
        <v>2</v>
      </c>
      <c r="B25" s="58" t="s">
        <v>36</v>
      </c>
      <c r="C25" s="59"/>
      <c r="D25" s="59"/>
      <c r="E25" s="59"/>
      <c r="F25" s="60"/>
      <c r="G25" s="419" t="s">
        <v>336</v>
      </c>
      <c r="H25" s="392"/>
    </row>
    <row r="26" spans="1:8" ht="15">
      <c r="A26" s="61">
        <v>3</v>
      </c>
      <c r="B26" s="58" t="s">
        <v>37</v>
      </c>
      <c r="C26" s="59"/>
      <c r="D26" s="59"/>
      <c r="E26" s="59"/>
      <c r="F26" s="60"/>
      <c r="G26" s="421">
        <v>2000</v>
      </c>
      <c r="H26" s="392"/>
    </row>
    <row r="27" spans="1:8" ht="15">
      <c r="A27" s="61">
        <v>4</v>
      </c>
      <c r="B27" s="58" t="s">
        <v>10</v>
      </c>
      <c r="C27" s="59"/>
      <c r="D27" s="59"/>
      <c r="E27" s="59"/>
      <c r="F27" s="60"/>
      <c r="G27" s="422" t="s">
        <v>334</v>
      </c>
      <c r="H27" s="392"/>
    </row>
    <row r="28" spans="1:8" ht="15">
      <c r="A28" s="61">
        <v>5</v>
      </c>
      <c r="B28" s="58" t="s">
        <v>11</v>
      </c>
      <c r="C28" s="59"/>
      <c r="D28" s="59"/>
      <c r="E28" s="59"/>
      <c r="F28" s="60"/>
      <c r="G28" s="423">
        <v>45658</v>
      </c>
      <c r="H28" s="392"/>
    </row>
    <row r="29" spans="1:8">
      <c r="A29" s="62"/>
      <c r="B29" s="62"/>
      <c r="C29" s="62"/>
      <c r="D29" s="62"/>
      <c r="E29" s="62"/>
      <c r="F29" s="62"/>
      <c r="G29" s="62"/>
    </row>
    <row r="30" spans="1:8" ht="15">
      <c r="A30" s="405" t="s">
        <v>38</v>
      </c>
      <c r="B30" s="401"/>
      <c r="C30" s="401"/>
      <c r="D30" s="401"/>
      <c r="E30" s="401"/>
      <c r="F30" s="401"/>
      <c r="G30" s="401"/>
      <c r="H30" s="401"/>
    </row>
    <row r="31" spans="1:8" ht="15">
      <c r="A31" s="63">
        <v>1</v>
      </c>
      <c r="B31" s="424" t="s">
        <v>39</v>
      </c>
      <c r="C31" s="391"/>
      <c r="D31" s="391"/>
      <c r="E31" s="391"/>
      <c r="F31" s="391"/>
      <c r="G31" s="392"/>
      <c r="H31" s="63" t="s">
        <v>12</v>
      </c>
    </row>
    <row r="32" spans="1:8">
      <c r="A32" s="64" t="s">
        <v>13</v>
      </c>
      <c r="B32" s="425" t="s">
        <v>40</v>
      </c>
      <c r="C32" s="391"/>
      <c r="D32" s="391"/>
      <c r="E32" s="391"/>
      <c r="F32" s="391"/>
      <c r="G32" s="392"/>
      <c r="H32" s="65">
        <f>G26</f>
        <v>2000</v>
      </c>
    </row>
    <row r="33" spans="1:10">
      <c r="A33" s="64" t="s">
        <v>3</v>
      </c>
      <c r="B33" s="534" t="s">
        <v>351</v>
      </c>
      <c r="C33" s="535"/>
      <c r="D33" s="535"/>
      <c r="E33" s="535"/>
      <c r="F33" s="535"/>
      <c r="G33" s="536"/>
      <c r="H33" s="65">
        <f>H32*30%</f>
        <v>600</v>
      </c>
    </row>
    <row r="34" spans="1:10">
      <c r="A34" s="64" t="s">
        <v>5</v>
      </c>
      <c r="B34" s="194" t="s">
        <v>337</v>
      </c>
      <c r="C34" s="192"/>
      <c r="D34" s="192"/>
      <c r="E34" s="192"/>
      <c r="F34" s="192"/>
      <c r="G34" s="195"/>
      <c r="H34" s="65">
        <v>0</v>
      </c>
    </row>
    <row r="35" spans="1:10">
      <c r="A35" s="64" t="s">
        <v>6</v>
      </c>
      <c r="B35" s="194" t="s">
        <v>353</v>
      </c>
      <c r="C35" s="192"/>
      <c r="D35" s="192"/>
      <c r="E35" s="192"/>
      <c r="F35" s="192"/>
      <c r="G35" s="195"/>
      <c r="H35" s="65">
        <f>H32*20%</f>
        <v>400</v>
      </c>
    </row>
    <row r="36" spans="1:10">
      <c r="A36" s="64" t="s">
        <v>7</v>
      </c>
      <c r="B36" s="523" t="s">
        <v>303</v>
      </c>
      <c r="C36" s="524"/>
      <c r="D36" s="524"/>
      <c r="E36" s="524"/>
      <c r="F36" s="524"/>
      <c r="G36" s="525"/>
      <c r="H36" s="66">
        <v>0</v>
      </c>
    </row>
    <row r="37" spans="1:10" ht="15">
      <c r="A37" s="67"/>
      <c r="B37" s="430" t="s">
        <v>14</v>
      </c>
      <c r="C37" s="391"/>
      <c r="D37" s="391"/>
      <c r="E37" s="391"/>
      <c r="F37" s="391"/>
      <c r="G37" s="392"/>
      <c r="H37" s="68">
        <f>SUM(H32:H36)</f>
        <v>3000</v>
      </c>
    </row>
    <row r="38" spans="1:10">
      <c r="A38" s="69"/>
      <c r="B38" s="69"/>
      <c r="C38" s="69"/>
      <c r="D38" s="69"/>
      <c r="E38" s="69"/>
      <c r="F38" s="69"/>
      <c r="G38" s="69"/>
      <c r="H38" s="69"/>
    </row>
    <row r="39" spans="1:10" ht="15">
      <c r="A39" s="405" t="s">
        <v>41</v>
      </c>
      <c r="B39" s="401"/>
      <c r="C39" s="401"/>
      <c r="D39" s="401"/>
      <c r="E39" s="401"/>
      <c r="F39" s="401"/>
      <c r="G39" s="401"/>
      <c r="H39" s="401"/>
    </row>
    <row r="40" spans="1:10" ht="15">
      <c r="A40" s="411" t="s">
        <v>42</v>
      </c>
      <c r="B40" s="395"/>
      <c r="C40" s="395"/>
      <c r="D40" s="395"/>
      <c r="E40" s="395"/>
      <c r="F40" s="395"/>
      <c r="G40" s="395"/>
      <c r="H40" s="395"/>
    </row>
    <row r="41" spans="1:10" ht="15">
      <c r="A41" s="63" t="s">
        <v>43</v>
      </c>
      <c r="B41" s="70" t="s">
        <v>44</v>
      </c>
      <c r="C41" s="71"/>
      <c r="D41" s="71"/>
      <c r="E41" s="71"/>
      <c r="F41" s="72"/>
      <c r="G41" s="73" t="s">
        <v>45</v>
      </c>
      <c r="H41" s="74" t="s">
        <v>12</v>
      </c>
    </row>
    <row r="42" spans="1:10">
      <c r="A42" s="75" t="s">
        <v>1</v>
      </c>
      <c r="B42" s="390" t="s">
        <v>46</v>
      </c>
      <c r="C42" s="391"/>
      <c r="D42" s="391"/>
      <c r="E42" s="391"/>
      <c r="F42" s="392"/>
      <c r="G42" s="76">
        <f>1/12</f>
        <v>8.3333333333333329E-2</v>
      </c>
      <c r="H42" s="65">
        <f>$G$42*$H$37</f>
        <v>250</v>
      </c>
    </row>
    <row r="43" spans="1:10">
      <c r="A43" s="75" t="s">
        <v>3</v>
      </c>
      <c r="B43" s="390" t="s">
        <v>47</v>
      </c>
      <c r="C43" s="391"/>
      <c r="D43" s="391"/>
      <c r="E43" s="391"/>
      <c r="F43" s="392"/>
      <c r="G43" s="76">
        <v>2.7799999999999998E-2</v>
      </c>
      <c r="H43" s="77">
        <f>$G$43*$H$37</f>
        <v>83.399999999999991</v>
      </c>
    </row>
    <row r="44" spans="1:10" ht="15">
      <c r="A44" s="67"/>
      <c r="B44" s="393" t="s">
        <v>48</v>
      </c>
      <c r="C44" s="391"/>
      <c r="D44" s="391"/>
      <c r="E44" s="391"/>
      <c r="F44" s="391"/>
      <c r="G44" s="392"/>
      <c r="H44" s="78">
        <f>SUM(H42:H43)</f>
        <v>333.4</v>
      </c>
    </row>
    <row r="45" spans="1:10" ht="15">
      <c r="A45" s="79"/>
      <c r="B45" s="80"/>
      <c r="C45" s="80"/>
      <c r="D45" s="80"/>
      <c r="E45" s="80"/>
      <c r="F45" s="80"/>
      <c r="G45" s="80"/>
      <c r="H45" s="80"/>
    </row>
    <row r="46" spans="1:10" ht="15">
      <c r="A46" s="394" t="s">
        <v>49</v>
      </c>
      <c r="B46" s="395"/>
      <c r="C46" s="395"/>
      <c r="D46" s="395"/>
      <c r="E46" s="395"/>
      <c r="F46" s="395"/>
      <c r="G46" s="395"/>
      <c r="H46" s="395"/>
    </row>
    <row r="47" spans="1:10" ht="15">
      <c r="A47" s="81" t="s">
        <v>50</v>
      </c>
      <c r="B47" s="82" t="s">
        <v>51</v>
      </c>
      <c r="C47" s="83"/>
      <c r="D47" s="83"/>
      <c r="E47" s="83"/>
      <c r="F47" s="84"/>
      <c r="G47" s="81" t="s">
        <v>52</v>
      </c>
      <c r="H47" s="81" t="s">
        <v>16</v>
      </c>
    </row>
    <row r="48" spans="1:10">
      <c r="A48" s="85" t="s">
        <v>1</v>
      </c>
      <c r="B48" s="390" t="s">
        <v>17</v>
      </c>
      <c r="C48" s="391"/>
      <c r="D48" s="391"/>
      <c r="E48" s="391"/>
      <c r="F48" s="392"/>
      <c r="G48" s="86">
        <v>0.2</v>
      </c>
      <c r="H48" s="87">
        <f>($H$37+$H$44)*$G$48</f>
        <v>666.68000000000006</v>
      </c>
      <c r="J48" s="88"/>
    </row>
    <row r="49" spans="1:9">
      <c r="A49" s="75" t="s">
        <v>3</v>
      </c>
      <c r="B49" s="390" t="s">
        <v>53</v>
      </c>
      <c r="C49" s="391"/>
      <c r="D49" s="391"/>
      <c r="E49" s="391"/>
      <c r="F49" s="392"/>
      <c r="G49" s="86">
        <v>2.5000000000000001E-2</v>
      </c>
      <c r="H49" s="87">
        <f>($H$37+$H$44)*$G$49</f>
        <v>83.335000000000008</v>
      </c>
    </row>
    <row r="50" spans="1:9">
      <c r="A50" s="75" t="s">
        <v>5</v>
      </c>
      <c r="B50" s="89" t="s">
        <v>301</v>
      </c>
      <c r="C50" s="89" t="s">
        <v>54</v>
      </c>
      <c r="D50" s="157">
        <v>0.03</v>
      </c>
      <c r="E50" s="89" t="s">
        <v>55</v>
      </c>
      <c r="F50" s="89">
        <v>1</v>
      </c>
      <c r="G50" s="90">
        <f>D50*F50</f>
        <v>0.03</v>
      </c>
      <c r="H50" s="87">
        <f>($H$37+$H$44)*$G$50</f>
        <v>100.002</v>
      </c>
      <c r="I50" s="10" t="s">
        <v>352</v>
      </c>
    </row>
    <row r="51" spans="1:9">
      <c r="A51" s="75" t="s">
        <v>6</v>
      </c>
      <c r="B51" s="390" t="s">
        <v>56</v>
      </c>
      <c r="C51" s="391"/>
      <c r="D51" s="391"/>
      <c r="E51" s="391"/>
      <c r="F51" s="392"/>
      <c r="G51" s="86">
        <v>1.4999999999999999E-2</v>
      </c>
      <c r="H51" s="87">
        <f>($H$37+$H$44)*$G$51</f>
        <v>50.000999999999998</v>
      </c>
    </row>
    <row r="52" spans="1:9">
      <c r="A52" s="75" t="s">
        <v>7</v>
      </c>
      <c r="B52" s="390" t="s">
        <v>57</v>
      </c>
      <c r="C52" s="391"/>
      <c r="D52" s="391"/>
      <c r="E52" s="391"/>
      <c r="F52" s="392"/>
      <c r="G52" s="86">
        <v>0.01</v>
      </c>
      <c r="H52" s="87">
        <f>($H$37+$H$44)*$G$52</f>
        <v>33.334000000000003</v>
      </c>
    </row>
    <row r="53" spans="1:9">
      <c r="A53" s="75" t="s">
        <v>8</v>
      </c>
      <c r="B53" s="390" t="s">
        <v>20</v>
      </c>
      <c r="C53" s="391"/>
      <c r="D53" s="391"/>
      <c r="E53" s="391"/>
      <c r="F53" s="392"/>
      <c r="G53" s="86">
        <v>6.0000000000000001E-3</v>
      </c>
      <c r="H53" s="87">
        <f>($H$37+$H$44)*$G$53</f>
        <v>20.000400000000003</v>
      </c>
    </row>
    <row r="54" spans="1:9">
      <c r="A54" s="85" t="s">
        <v>9</v>
      </c>
      <c r="B54" s="390" t="s">
        <v>18</v>
      </c>
      <c r="C54" s="391"/>
      <c r="D54" s="391"/>
      <c r="E54" s="391"/>
      <c r="F54" s="392"/>
      <c r="G54" s="86">
        <v>2E-3</v>
      </c>
      <c r="H54" s="87">
        <f>($H$37+$H$44)*$G$54</f>
        <v>6.6668000000000003</v>
      </c>
    </row>
    <row r="55" spans="1:9">
      <c r="A55" s="85" t="s">
        <v>58</v>
      </c>
      <c r="B55" s="390" t="s">
        <v>19</v>
      </c>
      <c r="C55" s="391"/>
      <c r="D55" s="391"/>
      <c r="E55" s="391"/>
      <c r="F55" s="392"/>
      <c r="G55" s="91">
        <v>0.08</v>
      </c>
      <c r="H55" s="87">
        <f>($H$37+$H$44)*$G$55</f>
        <v>266.67200000000003</v>
      </c>
    </row>
    <row r="56" spans="1:9" ht="15">
      <c r="A56" s="92" t="s">
        <v>59</v>
      </c>
      <c r="B56" s="70"/>
      <c r="C56" s="71"/>
      <c r="D56" s="71"/>
      <c r="E56" s="71"/>
      <c r="F56" s="72"/>
      <c r="G56" s="93">
        <f>SUM(G48:G55)</f>
        <v>0.36800000000000005</v>
      </c>
      <c r="H56" s="94">
        <f>SUM($H$48:$H$55)</f>
        <v>1226.6912000000002</v>
      </c>
    </row>
    <row r="57" spans="1:9" ht="15">
      <c r="A57" s="191" t="s">
        <v>292</v>
      </c>
      <c r="B57" s="188"/>
      <c r="C57" s="188"/>
      <c r="D57" s="188"/>
      <c r="E57" s="188"/>
      <c r="F57" s="188"/>
      <c r="G57" s="189"/>
      <c r="H57" s="190"/>
    </row>
    <row r="58" spans="1:9" ht="15">
      <c r="A58" s="95"/>
      <c r="B58" s="95"/>
      <c r="C58" s="95"/>
      <c r="D58" s="95"/>
      <c r="E58" s="95"/>
      <c r="F58" s="95"/>
      <c r="G58" s="95"/>
      <c r="H58" s="95"/>
    </row>
    <row r="59" spans="1:9" ht="15">
      <c r="A59" s="411" t="s">
        <v>60</v>
      </c>
      <c r="B59" s="395"/>
      <c r="C59" s="395"/>
      <c r="D59" s="395"/>
      <c r="E59" s="395"/>
      <c r="F59" s="395"/>
      <c r="G59" s="395"/>
      <c r="H59" s="395"/>
    </row>
    <row r="60" spans="1:9" ht="15">
      <c r="A60" s="63" t="s">
        <v>61</v>
      </c>
      <c r="B60" s="393" t="s">
        <v>62</v>
      </c>
      <c r="C60" s="391"/>
      <c r="D60" s="391"/>
      <c r="E60" s="391"/>
      <c r="F60" s="391"/>
      <c r="G60" s="392"/>
      <c r="H60" s="73" t="s">
        <v>12</v>
      </c>
    </row>
    <row r="61" spans="1:9">
      <c r="A61" s="75" t="s">
        <v>1</v>
      </c>
      <c r="B61" s="431" t="s">
        <v>339</v>
      </c>
      <c r="C61" s="391"/>
      <c r="D61" s="391"/>
      <c r="E61" s="391"/>
      <c r="F61" s="391"/>
      <c r="G61" s="392"/>
      <c r="H61" s="96">
        <f>C155</f>
        <v>9.1999999999999886</v>
      </c>
    </row>
    <row r="62" spans="1:9">
      <c r="A62" s="75" t="s">
        <v>3</v>
      </c>
      <c r="B62" s="97" t="s">
        <v>340</v>
      </c>
      <c r="C62" s="98"/>
      <c r="D62" s="98"/>
      <c r="E62" s="98"/>
      <c r="F62" s="99"/>
      <c r="G62" s="100">
        <f>E160</f>
        <v>660</v>
      </c>
      <c r="H62" s="96">
        <f>C166</f>
        <v>587.4</v>
      </c>
    </row>
    <row r="63" spans="1:9" ht="15">
      <c r="A63" s="75" t="s">
        <v>5</v>
      </c>
      <c r="B63" s="432" t="s">
        <v>341</v>
      </c>
      <c r="C63" s="433"/>
      <c r="D63" s="433"/>
      <c r="E63" s="433"/>
      <c r="F63" s="433"/>
      <c r="G63" s="434"/>
      <c r="H63" s="4">
        <f>H37*6%</f>
        <v>180</v>
      </c>
    </row>
    <row r="64" spans="1:9" ht="15">
      <c r="A64" s="75" t="s">
        <v>6</v>
      </c>
      <c r="B64" s="435" t="s">
        <v>342</v>
      </c>
      <c r="C64" s="436"/>
      <c r="D64" s="436"/>
      <c r="E64" s="436"/>
      <c r="F64" s="436"/>
      <c r="G64" s="437"/>
      <c r="H64" s="4">
        <v>1</v>
      </c>
    </row>
    <row r="65" spans="1:13" ht="15">
      <c r="A65" s="75" t="s">
        <v>7</v>
      </c>
      <c r="B65" s="435" t="s">
        <v>343</v>
      </c>
      <c r="C65" s="436"/>
      <c r="D65" s="436"/>
      <c r="E65" s="436"/>
      <c r="F65" s="436"/>
      <c r="G65" s="437"/>
      <c r="H65" s="4">
        <v>16</v>
      </c>
    </row>
    <row r="66" spans="1:13" ht="15">
      <c r="A66" s="75" t="s">
        <v>8</v>
      </c>
      <c r="B66" s="181" t="s">
        <v>344</v>
      </c>
      <c r="C66" s="182"/>
      <c r="D66" s="182"/>
      <c r="E66" s="182"/>
      <c r="F66" s="182"/>
      <c r="G66" s="183"/>
      <c r="H66" s="4">
        <v>72.680000000000007</v>
      </c>
    </row>
    <row r="67" spans="1:13" ht="15">
      <c r="A67" s="75" t="s">
        <v>9</v>
      </c>
      <c r="B67" s="181"/>
      <c r="C67" s="182"/>
      <c r="D67" s="182"/>
      <c r="E67" s="182"/>
      <c r="F67" s="182"/>
      <c r="G67" s="183"/>
      <c r="H67" s="4">
        <v>0</v>
      </c>
    </row>
    <row r="68" spans="1:13">
      <c r="A68" s="85" t="s">
        <v>58</v>
      </c>
      <c r="B68" s="438" t="s">
        <v>63</v>
      </c>
      <c r="C68" s="391"/>
      <c r="D68" s="391"/>
      <c r="E68" s="391"/>
      <c r="F68" s="391"/>
      <c r="G68" s="392"/>
      <c r="H68" s="101">
        <v>0</v>
      </c>
    </row>
    <row r="69" spans="1:13" ht="15">
      <c r="A69" s="67"/>
      <c r="B69" s="430" t="s">
        <v>48</v>
      </c>
      <c r="C69" s="391"/>
      <c r="D69" s="391"/>
      <c r="E69" s="391"/>
      <c r="F69" s="391"/>
      <c r="G69" s="392"/>
      <c r="H69" s="78">
        <f>SUM(H61:H68)</f>
        <v>866.28</v>
      </c>
    </row>
    <row r="70" spans="1:13" ht="15">
      <c r="A70" s="102"/>
      <c r="B70" s="103"/>
      <c r="C70" s="103"/>
      <c r="D70" s="103"/>
      <c r="E70" s="103"/>
      <c r="F70" s="103"/>
      <c r="G70" s="103"/>
      <c r="H70" s="104"/>
      <c r="M70" s="88"/>
    </row>
    <row r="71" spans="1:13">
      <c r="A71" s="439" t="s">
        <v>64</v>
      </c>
      <c r="B71" s="440"/>
      <c r="C71" s="440"/>
      <c r="D71" s="440"/>
      <c r="E71" s="440"/>
      <c r="F71" s="440"/>
      <c r="G71" s="440"/>
      <c r="H71" s="441"/>
      <c r="I71" s="105"/>
    </row>
    <row r="72" spans="1:13" ht="15">
      <c r="A72" s="73">
        <v>2</v>
      </c>
      <c r="B72" s="393" t="s">
        <v>65</v>
      </c>
      <c r="C72" s="391"/>
      <c r="D72" s="391"/>
      <c r="E72" s="391"/>
      <c r="F72" s="391"/>
      <c r="G72" s="392"/>
      <c r="H72" s="73" t="s">
        <v>12</v>
      </c>
    </row>
    <row r="73" spans="1:13">
      <c r="A73" s="75" t="s">
        <v>43</v>
      </c>
      <c r="B73" s="431" t="s">
        <v>66</v>
      </c>
      <c r="C73" s="391"/>
      <c r="D73" s="391"/>
      <c r="E73" s="391"/>
      <c r="F73" s="391"/>
      <c r="G73" s="392"/>
      <c r="H73" s="96">
        <f>$H$44</f>
        <v>333.4</v>
      </c>
    </row>
    <row r="74" spans="1:13">
      <c r="A74" s="75" t="s">
        <v>50</v>
      </c>
      <c r="B74" s="431" t="s">
        <v>51</v>
      </c>
      <c r="C74" s="391"/>
      <c r="D74" s="391"/>
      <c r="E74" s="391"/>
      <c r="F74" s="391"/>
      <c r="G74" s="392"/>
      <c r="H74" s="96">
        <f>$H$56</f>
        <v>1226.6912000000002</v>
      </c>
    </row>
    <row r="75" spans="1:13">
      <c r="A75" s="75" t="s">
        <v>61</v>
      </c>
      <c r="B75" s="406" t="s">
        <v>67</v>
      </c>
      <c r="C75" s="391"/>
      <c r="D75" s="391"/>
      <c r="E75" s="391"/>
      <c r="F75" s="391"/>
      <c r="G75" s="392"/>
      <c r="H75" s="96">
        <f>$H$69</f>
        <v>866.28</v>
      </c>
    </row>
    <row r="76" spans="1:13" ht="15">
      <c r="A76" s="106"/>
      <c r="B76" s="430" t="s">
        <v>68</v>
      </c>
      <c r="C76" s="391"/>
      <c r="D76" s="391"/>
      <c r="E76" s="391"/>
      <c r="F76" s="391"/>
      <c r="G76" s="392"/>
      <c r="H76" s="78">
        <f>SUM(H73:H75)</f>
        <v>2426.3712000000005</v>
      </c>
    </row>
    <row r="77" spans="1:13" ht="15">
      <c r="A77" s="102"/>
      <c r="B77" s="103"/>
      <c r="C77" s="103"/>
      <c r="D77" s="103"/>
      <c r="E77" s="103"/>
      <c r="F77" s="103"/>
      <c r="G77" s="103"/>
      <c r="H77" s="104"/>
    </row>
    <row r="78" spans="1:13">
      <c r="A78" s="442" t="s">
        <v>69</v>
      </c>
      <c r="B78" s="443"/>
      <c r="C78" s="443"/>
      <c r="D78" s="443"/>
      <c r="E78" s="443"/>
      <c r="F78" s="443"/>
      <c r="G78" s="443"/>
      <c r="H78" s="444"/>
    </row>
    <row r="79" spans="1:13" ht="15">
      <c r="A79" s="74">
        <v>3</v>
      </c>
      <c r="B79" s="447" t="s">
        <v>70</v>
      </c>
      <c r="C79" s="391"/>
      <c r="D79" s="391"/>
      <c r="E79" s="391"/>
      <c r="F79" s="392"/>
      <c r="G79" s="107" t="s">
        <v>52</v>
      </c>
      <c r="H79" s="74" t="s">
        <v>71</v>
      </c>
      <c r="J79" s="108"/>
    </row>
    <row r="80" spans="1:13">
      <c r="A80" s="109" t="s">
        <v>1</v>
      </c>
      <c r="B80" s="110" t="s">
        <v>214</v>
      </c>
      <c r="C80" s="111"/>
      <c r="D80" s="111"/>
      <c r="E80" s="111"/>
      <c r="F80" s="112"/>
      <c r="G80" s="91">
        <f>(5%*(1/12))</f>
        <v>4.1666666666666666E-3</v>
      </c>
      <c r="H80" s="113">
        <f t="shared" ref="H80:H85" si="0">G80*$H$37</f>
        <v>12.5</v>
      </c>
      <c r="K80" s="108"/>
    </row>
    <row r="81" spans="1:11">
      <c r="A81" s="114" t="s">
        <v>3</v>
      </c>
      <c r="B81" s="110" t="s">
        <v>215</v>
      </c>
      <c r="C81" s="111"/>
      <c r="D81" s="111"/>
      <c r="E81" s="111"/>
      <c r="F81" s="112"/>
      <c r="G81" s="91">
        <f>G80*G55</f>
        <v>3.3333333333333332E-4</v>
      </c>
      <c r="H81" s="113">
        <f t="shared" si="0"/>
        <v>1</v>
      </c>
      <c r="I81" s="88"/>
      <c r="J81" s="115"/>
      <c r="K81" s="88"/>
    </row>
    <row r="82" spans="1:11">
      <c r="A82" s="85" t="s">
        <v>5</v>
      </c>
      <c r="B82" s="97" t="s">
        <v>72</v>
      </c>
      <c r="C82" s="98"/>
      <c r="D82" s="98"/>
      <c r="E82" s="98"/>
      <c r="F82" s="99"/>
      <c r="G82" s="91">
        <f>((0.08*0.4*0.9)*(1+0.0833+0.09075+0.03025))</f>
        <v>3.4683840000000001E-2</v>
      </c>
      <c r="H82" s="113">
        <f t="shared" si="0"/>
        <v>104.05152</v>
      </c>
      <c r="J82" s="105"/>
    </row>
    <row r="83" spans="1:11">
      <c r="A83" s="114" t="s">
        <v>6</v>
      </c>
      <c r="B83" s="110" t="s">
        <v>216</v>
      </c>
      <c r="C83" s="111"/>
      <c r="D83" s="111"/>
      <c r="E83" s="111"/>
      <c r="F83" s="112"/>
      <c r="G83" s="91">
        <f>((1/30)*7)/12</f>
        <v>1.9444444444444445E-2</v>
      </c>
      <c r="H83" s="113">
        <f t="shared" si="0"/>
        <v>58.333333333333336</v>
      </c>
      <c r="J83" s="105"/>
    </row>
    <row r="84" spans="1:11">
      <c r="A84" s="116" t="s">
        <v>7</v>
      </c>
      <c r="B84" s="110" t="s">
        <v>217</v>
      </c>
      <c r="C84" s="111"/>
      <c r="D84" s="111"/>
      <c r="E84" s="111"/>
      <c r="F84" s="112"/>
      <c r="G84" s="91">
        <f>(G56*G83)</f>
        <v>7.1555555555555565E-3</v>
      </c>
      <c r="H84" s="113">
        <f t="shared" si="0"/>
        <v>21.466666666666669</v>
      </c>
    </row>
    <row r="85" spans="1:11">
      <c r="A85" s="75" t="s">
        <v>8</v>
      </c>
      <c r="B85" s="97" t="s">
        <v>73</v>
      </c>
      <c r="C85" s="98"/>
      <c r="D85" s="98"/>
      <c r="E85" s="98"/>
      <c r="F85" s="99"/>
      <c r="G85" s="91">
        <f>ROUNDUP(((0.08*0.4)*G56)/100,4)</f>
        <v>2.0000000000000001E-4</v>
      </c>
      <c r="H85" s="113">
        <f t="shared" si="0"/>
        <v>0.6</v>
      </c>
      <c r="I85" s="88"/>
      <c r="J85" s="88"/>
    </row>
    <row r="86" spans="1:11" ht="15">
      <c r="A86" s="445" t="s">
        <v>59</v>
      </c>
      <c r="B86" s="391"/>
      <c r="C86" s="391"/>
      <c r="D86" s="391"/>
      <c r="E86" s="391"/>
      <c r="F86" s="391"/>
      <c r="G86" s="392"/>
      <c r="H86" s="117">
        <f>TRUNC(SUM(H80:H85),2)</f>
        <v>197.95</v>
      </c>
      <c r="K86" s="88"/>
    </row>
    <row r="87" spans="1:11">
      <c r="A87" s="448" t="s">
        <v>218</v>
      </c>
      <c r="B87" s="449"/>
      <c r="C87" s="449"/>
      <c r="D87" s="449"/>
      <c r="E87" s="449"/>
      <c r="F87" s="449"/>
      <c r="G87" s="449"/>
      <c r="H87" s="449"/>
      <c r="I87" s="118"/>
    </row>
    <row r="88" spans="1:11">
      <c r="A88" s="450" t="s">
        <v>74</v>
      </c>
      <c r="B88" s="401"/>
      <c r="C88" s="401"/>
      <c r="D88" s="401"/>
      <c r="E88" s="401"/>
      <c r="F88" s="401"/>
      <c r="G88" s="401"/>
      <c r="H88" s="401"/>
      <c r="I88" s="118"/>
    </row>
    <row r="89" spans="1:11" ht="15">
      <c r="A89" s="102"/>
      <c r="B89" s="103"/>
      <c r="C89" s="103"/>
      <c r="D89" s="103"/>
      <c r="E89" s="103"/>
      <c r="F89" s="103"/>
      <c r="G89" s="103"/>
      <c r="H89" s="104"/>
      <c r="I89" s="118"/>
    </row>
    <row r="90" spans="1:11">
      <c r="A90" s="442" t="s">
        <v>75</v>
      </c>
      <c r="B90" s="443"/>
      <c r="C90" s="443"/>
      <c r="D90" s="443"/>
      <c r="E90" s="443"/>
      <c r="F90" s="443"/>
      <c r="G90" s="443"/>
      <c r="H90" s="444"/>
    </row>
    <row r="91" spans="1:11">
      <c r="A91" s="451" t="s">
        <v>76</v>
      </c>
      <c r="B91" s="440"/>
      <c r="C91" s="440"/>
      <c r="D91" s="440"/>
      <c r="E91" s="440"/>
      <c r="F91" s="440"/>
      <c r="G91" s="440"/>
      <c r="H91" s="441"/>
    </row>
    <row r="92" spans="1:11" ht="45">
      <c r="A92" s="74" t="s">
        <v>77</v>
      </c>
      <c r="B92" s="424" t="s">
        <v>78</v>
      </c>
      <c r="C92" s="391"/>
      <c r="D92" s="391"/>
      <c r="E92" s="391"/>
      <c r="F92" s="392"/>
      <c r="G92" s="107" t="s">
        <v>79</v>
      </c>
      <c r="H92" s="74" t="s">
        <v>71</v>
      </c>
      <c r="I92" s="119"/>
    </row>
    <row r="93" spans="1:11">
      <c r="A93" s="85" t="s">
        <v>1</v>
      </c>
      <c r="B93" s="390" t="s">
        <v>80</v>
      </c>
      <c r="C93" s="391"/>
      <c r="D93" s="391"/>
      <c r="E93" s="391"/>
      <c r="F93" s="392"/>
      <c r="G93" s="120">
        <v>9.0749999999999997E-2</v>
      </c>
      <c r="H93" s="113">
        <f>G93*$H$37</f>
        <v>272.25</v>
      </c>
      <c r="J93" s="88"/>
    </row>
    <row r="94" spans="1:11">
      <c r="A94" s="75" t="s">
        <v>3</v>
      </c>
      <c r="B94" s="390" t="s">
        <v>81</v>
      </c>
      <c r="C94" s="391"/>
      <c r="D94" s="391"/>
      <c r="E94" s="391"/>
      <c r="F94" s="392"/>
      <c r="G94" s="120">
        <v>1.6299999999999999E-2</v>
      </c>
      <c r="H94" s="113">
        <f>G94*$H$37</f>
        <v>48.9</v>
      </c>
    </row>
    <row r="95" spans="1:11">
      <c r="A95" s="85" t="s">
        <v>5</v>
      </c>
      <c r="B95" s="390" t="s">
        <v>82</v>
      </c>
      <c r="C95" s="391"/>
      <c r="D95" s="391"/>
      <c r="E95" s="391"/>
      <c r="F95" s="392"/>
      <c r="G95" s="120">
        <v>2.0000000000000001E-4</v>
      </c>
      <c r="H95" s="113">
        <f>G95*$H$37</f>
        <v>0.6</v>
      </c>
    </row>
    <row r="96" spans="1:11">
      <c r="A96" s="75" t="s">
        <v>6</v>
      </c>
      <c r="B96" s="390" t="s">
        <v>83</v>
      </c>
      <c r="C96" s="391"/>
      <c r="D96" s="391"/>
      <c r="E96" s="391"/>
      <c r="F96" s="392"/>
      <c r="G96" s="120">
        <v>3.3E-3</v>
      </c>
      <c r="H96" s="113">
        <f>G96*$H$37</f>
        <v>9.9</v>
      </c>
    </row>
    <row r="97" spans="1:8">
      <c r="A97" s="85" t="s">
        <v>7</v>
      </c>
      <c r="B97" s="390" t="s">
        <v>84</v>
      </c>
      <c r="C97" s="391"/>
      <c r="D97" s="391"/>
      <c r="E97" s="391"/>
      <c r="F97" s="392"/>
      <c r="G97" s="120">
        <v>5.5000000000000003E-4</v>
      </c>
      <c r="H97" s="113">
        <f>G97*$H$37</f>
        <v>1.6500000000000001</v>
      </c>
    </row>
    <row r="98" spans="1:8">
      <c r="A98" s="75" t="s">
        <v>8</v>
      </c>
      <c r="B98" s="121" t="s">
        <v>85</v>
      </c>
      <c r="C98" s="122"/>
      <c r="D98" s="122"/>
      <c r="E98" s="122"/>
      <c r="F98" s="123"/>
      <c r="G98" s="124">
        <v>0</v>
      </c>
      <c r="H98" s="113">
        <f t="shared" ref="H98" si="1">G98*$H$37</f>
        <v>0</v>
      </c>
    </row>
    <row r="99" spans="1:8" ht="15">
      <c r="A99" s="445" t="s">
        <v>86</v>
      </c>
      <c r="B99" s="391"/>
      <c r="C99" s="391"/>
      <c r="D99" s="391"/>
      <c r="E99" s="391"/>
      <c r="F99" s="392"/>
      <c r="G99" s="125">
        <f>SUM(G93:G98)</f>
        <v>0.11109999999999999</v>
      </c>
      <c r="H99" s="117">
        <f>SUM(H93:H98)</f>
        <v>333.29999999999995</v>
      </c>
    </row>
    <row r="100" spans="1:8">
      <c r="A100" s="85" t="s">
        <v>9</v>
      </c>
      <c r="B100" s="126" t="s">
        <v>87</v>
      </c>
      <c r="C100" s="127"/>
      <c r="D100" s="127"/>
      <c r="E100" s="127"/>
      <c r="F100" s="128"/>
      <c r="G100" s="120">
        <f>SUM(G93:G98)*G56</f>
        <v>4.0884799999999999E-2</v>
      </c>
      <c r="H100" s="113">
        <f>G100*$H$37</f>
        <v>122.6544</v>
      </c>
    </row>
    <row r="101" spans="1:8" ht="15">
      <c r="A101" s="445" t="s">
        <v>86</v>
      </c>
      <c r="B101" s="391"/>
      <c r="C101" s="391"/>
      <c r="D101" s="391"/>
      <c r="E101" s="391"/>
      <c r="F101" s="392"/>
      <c r="G101" s="125">
        <f>SUM(G99:G100)</f>
        <v>0.15198479999999998</v>
      </c>
      <c r="H101" s="117">
        <f>SUM(H99:H100)</f>
        <v>455.95439999999996</v>
      </c>
    </row>
    <row r="102" spans="1:8">
      <c r="A102" s="446" t="s">
        <v>88</v>
      </c>
      <c r="B102" s="391"/>
      <c r="C102" s="391"/>
      <c r="D102" s="391"/>
      <c r="E102" s="391"/>
      <c r="F102" s="391"/>
      <c r="G102" s="392"/>
      <c r="H102" s="129">
        <f>($H$135+$H$136+$H$137)/30</f>
        <v>187.47737333333333</v>
      </c>
    </row>
    <row r="103" spans="1:8" ht="15">
      <c r="A103" s="95"/>
      <c r="B103" s="95"/>
      <c r="C103" s="95"/>
      <c r="D103" s="95"/>
      <c r="E103" s="95"/>
      <c r="F103" s="95"/>
      <c r="G103" s="95"/>
      <c r="H103" s="95"/>
    </row>
    <row r="104" spans="1:8">
      <c r="A104" s="439" t="s">
        <v>89</v>
      </c>
      <c r="B104" s="440"/>
      <c r="C104" s="440"/>
      <c r="D104" s="440"/>
      <c r="E104" s="440"/>
      <c r="F104" s="440"/>
      <c r="G104" s="440"/>
      <c r="H104" s="441"/>
    </row>
    <row r="105" spans="1:8" ht="15">
      <c r="A105" s="73">
        <v>4</v>
      </c>
      <c r="B105" s="393" t="s">
        <v>65</v>
      </c>
      <c r="C105" s="391"/>
      <c r="D105" s="391"/>
      <c r="E105" s="391"/>
      <c r="F105" s="391"/>
      <c r="G105" s="392"/>
      <c r="H105" s="73" t="s">
        <v>12</v>
      </c>
    </row>
    <row r="106" spans="1:8">
      <c r="A106" s="75" t="s">
        <v>77</v>
      </c>
      <c r="B106" s="431" t="s">
        <v>90</v>
      </c>
      <c r="C106" s="391"/>
      <c r="D106" s="391"/>
      <c r="E106" s="391"/>
      <c r="F106" s="391"/>
      <c r="G106" s="392"/>
      <c r="H106" s="96">
        <f>$H$101</f>
        <v>455.95439999999996</v>
      </c>
    </row>
    <row r="107" spans="1:8" ht="15">
      <c r="A107" s="106"/>
      <c r="B107" s="430" t="s">
        <v>68</v>
      </c>
      <c r="C107" s="391"/>
      <c r="D107" s="391"/>
      <c r="E107" s="391"/>
      <c r="F107" s="391"/>
      <c r="G107" s="392"/>
      <c r="H107" s="130">
        <f>SUM(H106)</f>
        <v>455.95439999999996</v>
      </c>
    </row>
    <row r="108" spans="1:8" ht="15">
      <c r="A108" s="95"/>
      <c r="B108" s="95"/>
      <c r="C108" s="95"/>
      <c r="D108" s="95"/>
      <c r="E108" s="95"/>
      <c r="F108" s="95"/>
      <c r="G108" s="95"/>
      <c r="H108" s="95"/>
    </row>
    <row r="109" spans="1:8" ht="15">
      <c r="A109" s="405" t="s">
        <v>91</v>
      </c>
      <c r="B109" s="401"/>
      <c r="C109" s="401"/>
      <c r="D109" s="401"/>
      <c r="E109" s="401"/>
      <c r="F109" s="401"/>
      <c r="G109" s="401"/>
      <c r="H109" s="401"/>
    </row>
    <row r="110" spans="1:8" ht="15">
      <c r="A110" s="73">
        <v>5</v>
      </c>
      <c r="B110" s="393" t="s">
        <v>92</v>
      </c>
      <c r="C110" s="391"/>
      <c r="D110" s="391"/>
      <c r="E110" s="391"/>
      <c r="F110" s="391"/>
      <c r="G110" s="392"/>
      <c r="H110" s="73" t="s">
        <v>12</v>
      </c>
    </row>
    <row r="111" spans="1:8">
      <c r="A111" s="75" t="s">
        <v>1</v>
      </c>
      <c r="B111" s="431" t="s">
        <v>93</v>
      </c>
      <c r="C111" s="391"/>
      <c r="D111" s="391"/>
      <c r="E111" s="391"/>
      <c r="F111" s="391"/>
      <c r="G111" s="392"/>
      <c r="H111" s="96">
        <f>'Insumos DIV VIGILANTE ARMADO'!J18</f>
        <v>121.53333333333333</v>
      </c>
    </row>
    <row r="112" spans="1:8">
      <c r="A112" s="114" t="s">
        <v>3</v>
      </c>
      <c r="B112" s="410" t="s">
        <v>220</v>
      </c>
      <c r="C112" s="391"/>
      <c r="D112" s="391"/>
      <c r="E112" s="391"/>
      <c r="F112" s="391"/>
      <c r="G112" s="392"/>
      <c r="H112" s="131">
        <f>'Insumos DIV VIGILANTE ARMADO'!J33</f>
        <v>271.27900000000005</v>
      </c>
    </row>
    <row r="113" spans="1:8">
      <c r="A113" s="114" t="s">
        <v>5</v>
      </c>
      <c r="B113" s="410" t="s">
        <v>219</v>
      </c>
      <c r="C113" s="391"/>
      <c r="D113" s="391"/>
      <c r="E113" s="391"/>
      <c r="F113" s="391"/>
      <c r="G113" s="392"/>
      <c r="H113" s="131">
        <f>'Insumos DIV VIGILANTE ARMADO'!J43</f>
        <v>34.873666666666665</v>
      </c>
    </row>
    <row r="114" spans="1:8">
      <c r="A114" s="75" t="s">
        <v>6</v>
      </c>
      <c r="B114" s="556" t="s">
        <v>94</v>
      </c>
      <c r="C114" s="391"/>
      <c r="D114" s="391"/>
      <c r="E114" s="391"/>
      <c r="F114" s="391"/>
      <c r="G114" s="392"/>
      <c r="H114" s="101">
        <v>0</v>
      </c>
    </row>
    <row r="115" spans="1:8" ht="15">
      <c r="A115" s="106"/>
      <c r="B115" s="430" t="s">
        <v>68</v>
      </c>
      <c r="C115" s="391"/>
      <c r="D115" s="391"/>
      <c r="E115" s="391"/>
      <c r="F115" s="391"/>
      <c r="G115" s="392"/>
      <c r="H115" s="78">
        <f>SUM(H111:H114)</f>
        <v>427.68600000000009</v>
      </c>
    </row>
    <row r="116" spans="1:8" ht="32.25" customHeight="1">
      <c r="A116" s="448" t="s">
        <v>221</v>
      </c>
      <c r="B116" s="449"/>
      <c r="C116" s="449"/>
      <c r="D116" s="449"/>
      <c r="E116" s="449"/>
      <c r="F116" s="449"/>
      <c r="G116" s="449"/>
      <c r="H116" s="449"/>
    </row>
    <row r="117" spans="1:8">
      <c r="A117" s="132"/>
      <c r="B117" s="132"/>
      <c r="C117" s="132"/>
      <c r="D117" s="132"/>
      <c r="E117" s="132"/>
      <c r="F117" s="132"/>
      <c r="G117" s="132"/>
      <c r="H117" s="132"/>
    </row>
    <row r="118" spans="1:8">
      <c r="A118" s="442" t="s">
        <v>95</v>
      </c>
      <c r="B118" s="443"/>
      <c r="C118" s="443"/>
      <c r="D118" s="443"/>
      <c r="E118" s="443"/>
      <c r="F118" s="443"/>
      <c r="G118" s="443"/>
      <c r="H118" s="444"/>
    </row>
    <row r="119" spans="1:8" ht="15">
      <c r="A119" s="73">
        <v>6</v>
      </c>
      <c r="B119" s="447" t="s">
        <v>96</v>
      </c>
      <c r="C119" s="391"/>
      <c r="D119" s="391"/>
      <c r="E119" s="391"/>
      <c r="F119" s="392"/>
      <c r="G119" s="81" t="s">
        <v>52</v>
      </c>
      <c r="H119" s="73" t="s">
        <v>25</v>
      </c>
    </row>
    <row r="120" spans="1:8" ht="15">
      <c r="A120" s="21" t="s">
        <v>1</v>
      </c>
      <c r="B120" s="475" t="s">
        <v>222</v>
      </c>
      <c r="C120" s="391"/>
      <c r="D120" s="391"/>
      <c r="E120" s="391"/>
      <c r="F120" s="392"/>
      <c r="G120" s="133">
        <v>0.05</v>
      </c>
      <c r="H120" s="134">
        <f>$H$140*$G$120</f>
        <v>325.39807999999999</v>
      </c>
    </row>
    <row r="121" spans="1:8" ht="15">
      <c r="A121" s="21" t="s">
        <v>3</v>
      </c>
      <c r="B121" s="475" t="s">
        <v>21</v>
      </c>
      <c r="C121" s="391"/>
      <c r="D121" s="391"/>
      <c r="E121" s="391"/>
      <c r="F121" s="392"/>
      <c r="G121" s="135">
        <v>0.1</v>
      </c>
      <c r="H121" s="134">
        <f>($H$140+$H$120)*$G$121</f>
        <v>683.33596799999998</v>
      </c>
    </row>
    <row r="122" spans="1:8" ht="15">
      <c r="A122" s="21" t="s">
        <v>5</v>
      </c>
      <c r="B122" s="481" t="s">
        <v>22</v>
      </c>
      <c r="C122" s="391"/>
      <c r="D122" s="391"/>
      <c r="E122" s="391"/>
      <c r="F122" s="391"/>
      <c r="G122" s="391"/>
      <c r="H122" s="392"/>
    </row>
    <row r="123" spans="1:8">
      <c r="A123" s="136"/>
      <c r="B123" s="137" t="s">
        <v>97</v>
      </c>
      <c r="C123" s="138"/>
      <c r="D123" s="138"/>
      <c r="E123" s="138"/>
      <c r="F123" s="138"/>
      <c r="G123" s="22"/>
      <c r="H123" s="23"/>
    </row>
    <row r="124" spans="1:8">
      <c r="A124" s="75"/>
      <c r="B124" s="475" t="s">
        <v>24</v>
      </c>
      <c r="C124" s="391"/>
      <c r="D124" s="391"/>
      <c r="E124" s="391"/>
      <c r="F124" s="392"/>
      <c r="G124" s="139">
        <v>1.6500000000000001E-2</v>
      </c>
      <c r="H124" s="134">
        <f>($H$140+$H$120+$H$121)*$G$124/(1-$G$131)</f>
        <v>144.6361261714286</v>
      </c>
    </row>
    <row r="125" spans="1:8">
      <c r="A125" s="75"/>
      <c r="B125" s="475" t="s">
        <v>23</v>
      </c>
      <c r="C125" s="391"/>
      <c r="D125" s="391"/>
      <c r="E125" s="391"/>
      <c r="F125" s="392"/>
      <c r="G125" s="139">
        <v>7.5999999999999998E-2</v>
      </c>
      <c r="H125" s="134">
        <f>($H$140+$H$120+$H$121)*$G$125/(1-$G$131)</f>
        <v>666.20276297142857</v>
      </c>
    </row>
    <row r="126" spans="1:8">
      <c r="A126" s="75"/>
      <c r="B126" s="475" t="s">
        <v>98</v>
      </c>
      <c r="C126" s="391"/>
      <c r="D126" s="391"/>
      <c r="E126" s="391"/>
      <c r="F126" s="392"/>
      <c r="G126" s="139"/>
      <c r="H126" s="134">
        <f>(($H$140-$H$139)+$H$120+$H$121)*$G$126/(1-$G$131)</f>
        <v>0</v>
      </c>
    </row>
    <row r="127" spans="1:8">
      <c r="A127" s="136"/>
      <c r="B127" s="476" t="s">
        <v>99</v>
      </c>
      <c r="C127" s="391"/>
      <c r="D127" s="391"/>
      <c r="E127" s="391"/>
      <c r="F127" s="477"/>
      <c r="G127" s="140"/>
      <c r="H127" s="141"/>
    </row>
    <row r="128" spans="1:8">
      <c r="A128" s="75"/>
      <c r="B128" s="475" t="s">
        <v>100</v>
      </c>
      <c r="C128" s="391"/>
      <c r="D128" s="391"/>
      <c r="E128" s="391"/>
      <c r="F128" s="392"/>
      <c r="G128" s="139">
        <v>0.05</v>
      </c>
      <c r="H128" s="134">
        <f>($H$140+$H$120+$H$121)*$G$128/(1-$G$131)</f>
        <v>438.29129142857147</v>
      </c>
    </row>
    <row r="129" spans="1:12">
      <c r="A129" s="142"/>
      <c r="B129" s="137" t="s">
        <v>101</v>
      </c>
      <c r="C129" s="138"/>
      <c r="D129" s="138"/>
      <c r="E129" s="138"/>
      <c r="F129" s="138"/>
      <c r="G129" s="140"/>
      <c r="H129" s="141"/>
    </row>
    <row r="130" spans="1:12">
      <c r="A130" s="75"/>
      <c r="B130" s="476" t="s">
        <v>102</v>
      </c>
      <c r="C130" s="391"/>
      <c r="D130" s="391"/>
      <c r="E130" s="391"/>
      <c r="F130" s="477"/>
      <c r="G130" s="139"/>
      <c r="H130" s="134">
        <f>($H$140+$H$120+$H$121)*$G$130/(1-$G$131)</f>
        <v>0</v>
      </c>
    </row>
    <row r="131" spans="1:12" ht="15">
      <c r="A131" s="445" t="s">
        <v>103</v>
      </c>
      <c r="B131" s="477"/>
      <c r="C131" s="143"/>
      <c r="D131" s="143"/>
      <c r="E131" s="143"/>
      <c r="F131" s="143"/>
      <c r="G131" s="93">
        <f>$G$124+$G$125+$G$126+$G$128+$G$130</f>
        <v>0.14250000000000002</v>
      </c>
      <c r="H131" s="117">
        <f>H120+H121+H124+H125+H126+H128+H130</f>
        <v>2257.8642285714286</v>
      </c>
    </row>
    <row r="132" spans="1:12" ht="15">
      <c r="A132" s="95"/>
      <c r="B132" s="95"/>
      <c r="C132" s="95"/>
      <c r="D132" s="95"/>
      <c r="E132" s="95"/>
      <c r="F132" s="95"/>
      <c r="G132" s="95"/>
      <c r="H132" s="95"/>
    </row>
    <row r="133" spans="1:12" ht="15">
      <c r="A133" s="411" t="s">
        <v>104</v>
      </c>
      <c r="B133" s="395"/>
      <c r="C133" s="395"/>
      <c r="D133" s="395"/>
      <c r="E133" s="395"/>
      <c r="F133" s="395"/>
      <c r="G133" s="395"/>
      <c r="H133" s="395"/>
    </row>
    <row r="134" spans="1:12" ht="15">
      <c r="A134" s="430" t="s">
        <v>105</v>
      </c>
      <c r="B134" s="391"/>
      <c r="C134" s="391"/>
      <c r="D134" s="391"/>
      <c r="E134" s="391"/>
      <c r="F134" s="391"/>
      <c r="G134" s="392"/>
      <c r="H134" s="73" t="s">
        <v>25</v>
      </c>
    </row>
    <row r="135" spans="1:12">
      <c r="A135" s="12" t="s">
        <v>1</v>
      </c>
      <c r="B135" s="406" t="s">
        <v>106</v>
      </c>
      <c r="C135" s="391"/>
      <c r="D135" s="391"/>
      <c r="E135" s="391"/>
      <c r="F135" s="391"/>
      <c r="G135" s="392"/>
      <c r="H135" s="144">
        <f>$H$37</f>
        <v>3000</v>
      </c>
    </row>
    <row r="136" spans="1:12">
      <c r="A136" s="12" t="s">
        <v>3</v>
      </c>
      <c r="B136" s="406" t="s">
        <v>107</v>
      </c>
      <c r="C136" s="391"/>
      <c r="D136" s="391"/>
      <c r="E136" s="391"/>
      <c r="F136" s="391"/>
      <c r="G136" s="392"/>
      <c r="H136" s="144">
        <f>$H$76</f>
        <v>2426.3712000000005</v>
      </c>
    </row>
    <row r="137" spans="1:12">
      <c r="A137" s="12" t="s">
        <v>5</v>
      </c>
      <c r="B137" s="406" t="s">
        <v>108</v>
      </c>
      <c r="C137" s="391"/>
      <c r="D137" s="391"/>
      <c r="E137" s="391"/>
      <c r="F137" s="391"/>
      <c r="G137" s="392"/>
      <c r="H137" s="144">
        <f>$H$86</f>
        <v>197.95</v>
      </c>
    </row>
    <row r="138" spans="1:12">
      <c r="A138" s="12" t="s">
        <v>6</v>
      </c>
      <c r="B138" s="406" t="s">
        <v>75</v>
      </c>
      <c r="C138" s="391"/>
      <c r="D138" s="391"/>
      <c r="E138" s="391"/>
      <c r="F138" s="391"/>
      <c r="G138" s="392"/>
      <c r="H138" s="144">
        <f>$H$107</f>
        <v>455.95439999999996</v>
      </c>
    </row>
    <row r="139" spans="1:12">
      <c r="A139" s="12" t="s">
        <v>109</v>
      </c>
      <c r="B139" s="406" t="s">
        <v>110</v>
      </c>
      <c r="C139" s="391"/>
      <c r="D139" s="391"/>
      <c r="E139" s="391"/>
      <c r="F139" s="391"/>
      <c r="G139" s="392"/>
      <c r="H139" s="144">
        <f>$H$115</f>
        <v>427.68600000000009</v>
      </c>
    </row>
    <row r="140" spans="1:12" ht="15">
      <c r="A140" s="470" t="s">
        <v>111</v>
      </c>
      <c r="B140" s="391"/>
      <c r="C140" s="391"/>
      <c r="D140" s="391"/>
      <c r="E140" s="391"/>
      <c r="F140" s="391"/>
      <c r="G140" s="392"/>
      <c r="H140" s="145">
        <f>SUM(H135:H139)</f>
        <v>6507.9615999999996</v>
      </c>
    </row>
    <row r="141" spans="1:12">
      <c r="A141" s="146" t="s">
        <v>8</v>
      </c>
      <c r="B141" s="471" t="s">
        <v>112</v>
      </c>
      <c r="C141" s="391"/>
      <c r="D141" s="391"/>
      <c r="E141" s="391"/>
      <c r="F141" s="391"/>
      <c r="G141" s="392"/>
      <c r="H141" s="147">
        <f>$H$131</f>
        <v>2257.8642285714286</v>
      </c>
      <c r="J141" s="148"/>
    </row>
    <row r="142" spans="1:12" ht="15">
      <c r="A142" s="149"/>
      <c r="B142" s="430" t="s">
        <v>113</v>
      </c>
      <c r="C142" s="391"/>
      <c r="D142" s="391"/>
      <c r="E142" s="391"/>
      <c r="F142" s="391"/>
      <c r="G142" s="392"/>
      <c r="H142" s="150">
        <f>ROUND($H$140+$H$141,2)</f>
        <v>8765.83</v>
      </c>
      <c r="L142" s="148"/>
    </row>
    <row r="143" spans="1:12" ht="15">
      <c r="A143" s="472" t="s">
        <v>114</v>
      </c>
      <c r="B143" s="391"/>
      <c r="C143" s="391"/>
      <c r="D143" s="391"/>
      <c r="E143" s="391"/>
      <c r="F143" s="391"/>
      <c r="G143" s="392"/>
      <c r="H143" s="151">
        <f>$H$142/$H$37</f>
        <v>2.9219433333333331</v>
      </c>
      <c r="K143" s="148"/>
    </row>
    <row r="144" spans="1:12" ht="15">
      <c r="A144" s="95"/>
      <c r="B144" s="95"/>
      <c r="C144" s="95"/>
      <c r="D144" s="95"/>
      <c r="E144" s="95"/>
      <c r="F144" s="95"/>
      <c r="G144" s="95"/>
      <c r="H144" s="95"/>
      <c r="J144" s="148"/>
      <c r="K144" s="148"/>
    </row>
    <row r="146" spans="1:12" ht="15">
      <c r="A146" s="473" t="s">
        <v>115</v>
      </c>
      <c r="B146" s="391"/>
      <c r="C146" s="391"/>
      <c r="D146" s="391"/>
      <c r="E146" s="391"/>
      <c r="F146" s="392"/>
      <c r="G146" s="24"/>
      <c r="H146" s="24"/>
      <c r="I146" s="24"/>
      <c r="J146" s="24"/>
      <c r="K146" s="24"/>
      <c r="L146" s="24"/>
    </row>
    <row r="147" spans="1:12">
      <c r="A147" s="469" t="s">
        <v>210</v>
      </c>
      <c r="B147" s="467"/>
      <c r="C147" s="467"/>
      <c r="D147" s="467"/>
      <c r="E147" s="467"/>
      <c r="F147" s="468"/>
      <c r="G147" s="25"/>
      <c r="H147" s="25"/>
    </row>
    <row r="148" spans="1:12">
      <c r="A148" s="36" t="s">
        <v>116</v>
      </c>
      <c r="B148" s="26" t="s">
        <v>117</v>
      </c>
      <c r="C148" s="461" t="s">
        <v>118</v>
      </c>
      <c r="D148" s="459"/>
      <c r="E148" s="461" t="s">
        <v>86</v>
      </c>
      <c r="F148" s="454"/>
      <c r="H148" s="27"/>
    </row>
    <row r="149" spans="1:12">
      <c r="A149" s="28">
        <v>2</v>
      </c>
      <c r="B149" s="29">
        <v>4.3</v>
      </c>
      <c r="C149" s="458">
        <f>2*22</f>
        <v>44</v>
      </c>
      <c r="D149" s="459"/>
      <c r="E149" s="460">
        <f>B149*C149</f>
        <v>189.2</v>
      </c>
      <c r="F149" s="454"/>
      <c r="G149" s="30"/>
      <c r="H149" s="31"/>
    </row>
    <row r="150" spans="1:12">
      <c r="A150" s="32"/>
      <c r="B150" s="33"/>
      <c r="C150" s="33"/>
      <c r="D150" s="33"/>
      <c r="E150" s="33"/>
      <c r="F150" s="34"/>
      <c r="G150" s="35"/>
      <c r="H150" s="35"/>
    </row>
    <row r="151" spans="1:12">
      <c r="A151" s="36" t="s">
        <v>15</v>
      </c>
      <c r="B151" s="26" t="s">
        <v>119</v>
      </c>
      <c r="C151" s="461" t="s">
        <v>86</v>
      </c>
      <c r="D151" s="453"/>
      <c r="E151" s="453"/>
      <c r="F151" s="454"/>
      <c r="G151" s="27"/>
      <c r="H151" s="35"/>
    </row>
    <row r="152" spans="1:12">
      <c r="A152" s="37">
        <v>6</v>
      </c>
      <c r="B152" s="38">
        <f>H37</f>
        <v>3000</v>
      </c>
      <c r="C152" s="452">
        <f>B152*A152/100</f>
        <v>180</v>
      </c>
      <c r="D152" s="453"/>
      <c r="E152" s="453"/>
      <c r="F152" s="454"/>
      <c r="G152" s="39"/>
      <c r="H152" s="35"/>
    </row>
    <row r="153" spans="1:12">
      <c r="A153" s="32"/>
      <c r="B153" s="33"/>
      <c r="C153" s="33"/>
      <c r="D153" s="33"/>
      <c r="E153" s="33"/>
      <c r="F153" s="34"/>
      <c r="G153" s="35"/>
      <c r="H153" s="35"/>
    </row>
    <row r="154" spans="1:12" ht="15" thickBot="1">
      <c r="A154" s="462" t="s">
        <v>120</v>
      </c>
      <c r="B154" s="463"/>
      <c r="C154" s="463"/>
      <c r="D154" s="463"/>
      <c r="E154" s="463"/>
      <c r="F154" s="464"/>
      <c r="G154" s="40"/>
      <c r="H154" s="35"/>
    </row>
    <row r="155" spans="1:12" ht="15.75" thickBot="1">
      <c r="A155" s="41">
        <f>E149</f>
        <v>189.2</v>
      </c>
      <c r="B155" s="42">
        <f>C152</f>
        <v>180</v>
      </c>
      <c r="C155" s="465">
        <f>A155-B155</f>
        <v>9.1999999999999886</v>
      </c>
      <c r="D155" s="397"/>
      <c r="E155" s="397"/>
      <c r="F155" s="398"/>
      <c r="G155" s="31"/>
      <c r="H155" s="43"/>
    </row>
    <row r="157" spans="1:1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5">
      <c r="A158" s="466" t="s">
        <v>211</v>
      </c>
      <c r="B158" s="467"/>
      <c r="C158" s="467"/>
      <c r="D158" s="467"/>
      <c r="E158" s="467"/>
      <c r="F158" s="468"/>
      <c r="G158" s="40"/>
      <c r="H158" s="40"/>
    </row>
    <row r="159" spans="1:12">
      <c r="A159" s="36" t="s">
        <v>116</v>
      </c>
      <c r="B159" s="26" t="s">
        <v>117</v>
      </c>
      <c r="C159" s="461" t="s">
        <v>118</v>
      </c>
      <c r="D159" s="459"/>
      <c r="E159" s="461" t="s">
        <v>121</v>
      </c>
      <c r="F159" s="454"/>
    </row>
    <row r="160" spans="1:12">
      <c r="A160" s="37">
        <v>1</v>
      </c>
      <c r="B160" s="44">
        <f>30*22</f>
        <v>660</v>
      </c>
      <c r="C160" s="458">
        <v>1</v>
      </c>
      <c r="D160" s="459"/>
      <c r="E160" s="460">
        <f>A160*B160*C160</f>
        <v>660</v>
      </c>
      <c r="F160" s="454"/>
      <c r="G160" s="27"/>
      <c r="H160" s="39"/>
    </row>
    <row r="161" spans="1:8">
      <c r="A161" s="32"/>
      <c r="B161" s="33">
        <f>30*22</f>
        <v>660</v>
      </c>
      <c r="C161" s="33"/>
      <c r="D161" s="33"/>
      <c r="E161" s="33"/>
      <c r="F161" s="34"/>
      <c r="G161" s="35"/>
      <c r="H161" s="35"/>
    </row>
    <row r="162" spans="1:8" ht="15">
      <c r="A162" s="36" t="s">
        <v>15</v>
      </c>
      <c r="B162" s="243" t="s">
        <v>338</v>
      </c>
      <c r="C162" s="461" t="s">
        <v>86</v>
      </c>
      <c r="D162" s="453"/>
      <c r="E162" s="453"/>
      <c r="F162" s="454"/>
      <c r="H162" s="35"/>
    </row>
    <row r="163" spans="1:8">
      <c r="A163" s="37">
        <v>11</v>
      </c>
      <c r="B163" s="38">
        <f>E160</f>
        <v>660</v>
      </c>
      <c r="C163" s="452">
        <f>B163*A163/100</f>
        <v>72.599999999999994</v>
      </c>
      <c r="D163" s="453"/>
      <c r="E163" s="453"/>
      <c r="F163" s="454"/>
      <c r="G163" s="39"/>
      <c r="H163" s="35"/>
    </row>
    <row r="164" spans="1:8">
      <c r="A164" s="32"/>
      <c r="B164" s="33"/>
      <c r="C164" s="33"/>
      <c r="D164" s="33"/>
      <c r="E164" s="33"/>
      <c r="F164" s="34"/>
      <c r="G164" s="35"/>
      <c r="H164" s="35"/>
    </row>
    <row r="165" spans="1:8" ht="15" thickBot="1">
      <c r="A165" s="455" t="s">
        <v>122</v>
      </c>
      <c r="B165" s="443"/>
      <c r="C165" s="443"/>
      <c r="D165" s="443"/>
      <c r="E165" s="443"/>
      <c r="F165" s="456"/>
      <c r="G165" s="40"/>
      <c r="H165" s="40"/>
    </row>
    <row r="166" spans="1:8" ht="15.75" thickBot="1">
      <c r="A166" s="41">
        <f>E160</f>
        <v>660</v>
      </c>
      <c r="B166" s="45">
        <f>C163</f>
        <v>72.599999999999994</v>
      </c>
      <c r="C166" s="457">
        <f>A166-B166</f>
        <v>587.4</v>
      </c>
      <c r="D166" s="397"/>
      <c r="E166" s="397"/>
      <c r="F166" s="398"/>
      <c r="G166" s="39"/>
      <c r="H166" s="43"/>
    </row>
    <row r="170" spans="1:8">
      <c r="C170" s="263" t="s">
        <v>400</v>
      </c>
    </row>
    <row r="173" spans="1:8" ht="15.75">
      <c r="B173" s="265" t="s">
        <v>294</v>
      </c>
    </row>
    <row r="174" spans="1:8" ht="15.75">
      <c r="B174" s="266" t="s">
        <v>295</v>
      </c>
    </row>
  </sheetData>
  <mergeCells count="129">
    <mergeCell ref="A1:H1"/>
    <mergeCell ref="A2:H2"/>
    <mergeCell ref="A3:H3"/>
    <mergeCell ref="G4:H4"/>
    <mergeCell ref="G5:H5"/>
    <mergeCell ref="A7:G7"/>
    <mergeCell ref="A17:F17"/>
    <mergeCell ref="G17:H17"/>
    <mergeCell ref="A18:F18"/>
    <mergeCell ref="G18:H18"/>
    <mergeCell ref="A19:H19"/>
    <mergeCell ref="A21:H21"/>
    <mergeCell ref="B8:G8"/>
    <mergeCell ref="B9:G9"/>
    <mergeCell ref="B10:G10"/>
    <mergeCell ref="B11:G11"/>
    <mergeCell ref="A15:H15"/>
    <mergeCell ref="A16:F16"/>
    <mergeCell ref="G16:H16"/>
    <mergeCell ref="G28:H28"/>
    <mergeCell ref="A30:H30"/>
    <mergeCell ref="B31:G31"/>
    <mergeCell ref="B32:G32"/>
    <mergeCell ref="B33:G33"/>
    <mergeCell ref="B36:G36"/>
    <mergeCell ref="A22:H22"/>
    <mergeCell ref="A23:H23"/>
    <mergeCell ref="G24:H24"/>
    <mergeCell ref="G25:H25"/>
    <mergeCell ref="G26:H26"/>
    <mergeCell ref="G27:H27"/>
    <mergeCell ref="A46:H46"/>
    <mergeCell ref="B48:F48"/>
    <mergeCell ref="B49:F49"/>
    <mergeCell ref="B51:F51"/>
    <mergeCell ref="B52:F52"/>
    <mergeCell ref="B53:F53"/>
    <mergeCell ref="B37:G37"/>
    <mergeCell ref="A39:H39"/>
    <mergeCell ref="A40:H40"/>
    <mergeCell ref="B42:F42"/>
    <mergeCell ref="B43:F43"/>
    <mergeCell ref="B44:G44"/>
    <mergeCell ref="B64:G64"/>
    <mergeCell ref="B65:G65"/>
    <mergeCell ref="B68:G68"/>
    <mergeCell ref="B69:G69"/>
    <mergeCell ref="A71:H71"/>
    <mergeCell ref="B72:G72"/>
    <mergeCell ref="B54:F54"/>
    <mergeCell ref="B55:F55"/>
    <mergeCell ref="A59:H59"/>
    <mergeCell ref="B60:G60"/>
    <mergeCell ref="B61:G61"/>
    <mergeCell ref="B63:G63"/>
    <mergeCell ref="A86:G86"/>
    <mergeCell ref="A87:H87"/>
    <mergeCell ref="A88:H88"/>
    <mergeCell ref="A90:H90"/>
    <mergeCell ref="A91:H91"/>
    <mergeCell ref="B92:F92"/>
    <mergeCell ref="B73:G73"/>
    <mergeCell ref="B74:G74"/>
    <mergeCell ref="B75:G75"/>
    <mergeCell ref="B76:G76"/>
    <mergeCell ref="A78:H78"/>
    <mergeCell ref="B79:F79"/>
    <mergeCell ref="A101:F101"/>
    <mergeCell ref="A102:G102"/>
    <mergeCell ref="A104:H104"/>
    <mergeCell ref="B105:G105"/>
    <mergeCell ref="B106:G106"/>
    <mergeCell ref="B107:G107"/>
    <mergeCell ref="B93:F93"/>
    <mergeCell ref="B94:F94"/>
    <mergeCell ref="B95:F95"/>
    <mergeCell ref="B96:F96"/>
    <mergeCell ref="B97:F97"/>
    <mergeCell ref="A99:F99"/>
    <mergeCell ref="B115:G115"/>
    <mergeCell ref="A116:H116"/>
    <mergeCell ref="A118:H118"/>
    <mergeCell ref="B119:F119"/>
    <mergeCell ref="B120:F120"/>
    <mergeCell ref="B121:F121"/>
    <mergeCell ref="A109:H109"/>
    <mergeCell ref="B110:G110"/>
    <mergeCell ref="B111:G111"/>
    <mergeCell ref="B112:G112"/>
    <mergeCell ref="B113:G113"/>
    <mergeCell ref="B114:G114"/>
    <mergeCell ref="B130:F130"/>
    <mergeCell ref="A131:B131"/>
    <mergeCell ref="A133:H133"/>
    <mergeCell ref="A134:G134"/>
    <mergeCell ref="B135:G135"/>
    <mergeCell ref="B136:G136"/>
    <mergeCell ref="B122:H122"/>
    <mergeCell ref="B124:F124"/>
    <mergeCell ref="B125:F125"/>
    <mergeCell ref="B126:F126"/>
    <mergeCell ref="B127:F127"/>
    <mergeCell ref="B128:F128"/>
    <mergeCell ref="A143:G143"/>
    <mergeCell ref="A146:F146"/>
    <mergeCell ref="A147:F147"/>
    <mergeCell ref="C148:D148"/>
    <mergeCell ref="E148:F148"/>
    <mergeCell ref="C149:D149"/>
    <mergeCell ref="E149:F149"/>
    <mergeCell ref="B137:G137"/>
    <mergeCell ref="B138:G138"/>
    <mergeCell ref="B139:G139"/>
    <mergeCell ref="A140:G140"/>
    <mergeCell ref="B141:G141"/>
    <mergeCell ref="B142:G142"/>
    <mergeCell ref="C160:D160"/>
    <mergeCell ref="E160:F160"/>
    <mergeCell ref="C162:F162"/>
    <mergeCell ref="C163:F163"/>
    <mergeCell ref="A165:F165"/>
    <mergeCell ref="C166:F166"/>
    <mergeCell ref="C151:F151"/>
    <mergeCell ref="C152:F152"/>
    <mergeCell ref="A154:F154"/>
    <mergeCell ref="C155:F155"/>
    <mergeCell ref="A158:F158"/>
    <mergeCell ref="C159:D159"/>
    <mergeCell ref="E159:F159"/>
  </mergeCells>
  <pageMargins left="0.511811024" right="0.511811024" top="0.78740157499999996" bottom="0.78740157499999996" header="0.31496062000000002" footer="0.31496062000000002"/>
  <pageSetup paperSize="9"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RESUMO</vt:lpstr>
      <vt:lpstr>Produtividade Serventes</vt:lpstr>
      <vt:lpstr>Servente de limpeza</vt:lpstr>
      <vt:lpstr>Insumos Diversos SERVENTE Sede</vt:lpstr>
      <vt:lpstr>Insumos DIV UNIFORME SERVENTE</vt:lpstr>
      <vt:lpstr>ENCARREGADO Servente de limpeza</vt:lpstr>
      <vt:lpstr>Vigilante DIURNO</vt:lpstr>
      <vt:lpstr>Insumos DIV VIGILANTE</vt:lpstr>
      <vt:lpstr>Vigilante NOTURNO</vt:lpstr>
      <vt:lpstr>Insumos DIV VIGILANTE ARMADO</vt:lpstr>
      <vt:lpstr>'ENCARREGADO Servente de limpeza'!Area_de_impressao</vt:lpstr>
      <vt:lpstr>'Insumos DIV UNIFORME SERVENTE'!Area_de_impressao</vt:lpstr>
      <vt:lpstr>'Insumos DIV VIGILANTE'!Area_de_impressao</vt:lpstr>
      <vt:lpstr>'Insumos DIV VIGILANTE ARMADO'!Area_de_impressao</vt:lpstr>
      <vt:lpstr>'Insumos Diversos SERVENTE Sede'!Area_de_impressao</vt:lpstr>
      <vt:lpstr>'Servente de limpeza'!Area_de_impressao</vt:lpstr>
      <vt:lpstr>'Vigilante DIURNO'!Area_de_impressao</vt:lpstr>
      <vt:lpstr>'Vigilante NOTURNO'!Area_de_impressao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Muchagata</dc:creator>
  <cp:lastModifiedBy>Luciana Freire D Eca Nogueira</cp:lastModifiedBy>
  <cp:lastPrinted>2025-03-28T18:49:53Z</cp:lastPrinted>
  <dcterms:created xsi:type="dcterms:W3CDTF">2006-09-25T12:47:36Z</dcterms:created>
  <dcterms:modified xsi:type="dcterms:W3CDTF">2025-03-28T18:50:49Z</dcterms:modified>
</cp:coreProperties>
</file>