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S:\Planejamento Projetos\TERMOS DE REFERÊNCIA 2\TERMOS DE REFERÊNCIA DISPENSAS\TELHADO\"/>
    </mc:Choice>
  </mc:AlternateContent>
  <xr:revisionPtr revIDLastSave="0" documentId="13_ncr:1_{248600FE-768A-4B82-97F3-91D79478B5A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INTETICO" sheetId="1" r:id="rId1"/>
    <sheet name="Memorial de Cálculo" sheetId="2" state="hidden" r:id="rId2"/>
    <sheet name="BDI" sheetId="4" r:id="rId3"/>
    <sheet name="Planilha3" sheetId="3" state="hidden" r:id="rId4"/>
    <sheet name="SINTETICO (2)" sheetId="5" r:id="rId5"/>
    <sheet name="Planilha1" sheetId="6" r:id="rId6"/>
  </sheets>
  <definedNames>
    <definedName name="_xlnm.Print_Area" localSheetId="2">BDI!$A$1:$F$35</definedName>
    <definedName name="_xlnm.Print_Area" localSheetId="0">SINTETICO!$A$1:$J$267</definedName>
    <definedName name="_xlnm.Print_Area" localSheetId="4">'SINTETICO (2)'!$A$6:$K$34</definedName>
  </definedNames>
  <calcPr calcId="191029"/>
</workbook>
</file>

<file path=xl/calcChain.xml><?xml version="1.0" encoding="utf-8"?>
<calcChain xmlns="http://schemas.openxmlformats.org/spreadsheetml/2006/main">
  <c r="I4" i="6" l="1"/>
  <c r="J25" i="5"/>
  <c r="K25" i="5" s="1"/>
  <c r="J24" i="5"/>
  <c r="K24" i="5" s="1"/>
  <c r="J23" i="5"/>
  <c r="K23" i="5" s="1"/>
  <c r="I22" i="5"/>
  <c r="J22" i="5" s="1"/>
  <c r="K22" i="5" s="1"/>
  <c r="J21" i="5"/>
  <c r="K21" i="5" s="1"/>
  <c r="J20" i="5"/>
  <c r="K20" i="5" s="1"/>
  <c r="J19" i="5"/>
  <c r="K19" i="5" s="1"/>
  <c r="J18" i="5"/>
  <c r="K18" i="5" s="1"/>
  <c r="I17" i="5"/>
  <c r="H17" i="5"/>
  <c r="J17" i="5" s="1"/>
  <c r="K17" i="5" s="1"/>
  <c r="J16" i="5"/>
  <c r="K16" i="5" s="1"/>
  <c r="J15" i="5"/>
  <c r="K15" i="5" s="1"/>
  <c r="J14" i="5"/>
  <c r="K14" i="5" s="1"/>
  <c r="D38" i="3"/>
  <c r="B21" i="4"/>
  <c r="K149" i="2"/>
  <c r="E149" i="2"/>
  <c r="K111" i="2"/>
  <c r="Q104" i="2"/>
  <c r="Q102" i="2"/>
  <c r="W101" i="2"/>
  <c r="E99" i="2"/>
  <c r="Q96" i="2"/>
  <c r="K96" i="2"/>
  <c r="W95" i="2"/>
  <c r="Q95" i="2"/>
  <c r="Q98" i="2" s="1"/>
  <c r="W94" i="2"/>
  <c r="W88" i="2"/>
  <c r="W87" i="2"/>
  <c r="Q87" i="2"/>
  <c r="W86" i="2"/>
  <c r="Q86" i="2"/>
  <c r="Q85" i="2"/>
  <c r="W84" i="2"/>
  <c r="W83" i="2"/>
  <c r="Q83" i="2"/>
  <c r="W82" i="2"/>
  <c r="Q82" i="2"/>
  <c r="W81" i="2"/>
  <c r="Q81" i="2"/>
  <c r="Q89" i="2" s="1"/>
  <c r="W80" i="2"/>
  <c r="Q80" i="2"/>
  <c r="K80" i="2"/>
  <c r="E80" i="2"/>
  <c r="E112" i="2" s="1"/>
  <c r="W79" i="2"/>
  <c r="Q79" i="2"/>
  <c r="Q68" i="2"/>
  <c r="K68" i="2" s="1"/>
  <c r="W66" i="2"/>
  <c r="E66" i="2"/>
  <c r="W62" i="2"/>
  <c r="Q62" i="2"/>
  <c r="E62" i="2"/>
  <c r="W61" i="2"/>
  <c r="E61" i="2"/>
  <c r="W59" i="2"/>
  <c r="Q59" i="2"/>
  <c r="E59" i="2"/>
  <c r="W58" i="2"/>
  <c r="Q58" i="2"/>
  <c r="E58" i="2"/>
  <c r="W57" i="2"/>
  <c r="W56" i="2"/>
  <c r="W55" i="2"/>
  <c r="W54" i="2"/>
  <c r="W53" i="2"/>
  <c r="Q53" i="2"/>
  <c r="E53" i="2"/>
  <c r="W52" i="2"/>
  <c r="Q51" i="2"/>
  <c r="Q50" i="2"/>
  <c r="K50" i="2" s="1"/>
  <c r="Q49" i="2"/>
  <c r="K49" i="2"/>
  <c r="W45" i="2"/>
  <c r="W75" i="2" s="1"/>
  <c r="F33" i="1" s="1"/>
  <c r="J33" i="1" s="1"/>
  <c r="Q45" i="2"/>
  <c r="Q44" i="2"/>
  <c r="K44" i="2"/>
  <c r="E44" i="2"/>
  <c r="E43" i="2"/>
  <c r="W42" i="2"/>
  <c r="Q42" i="2"/>
  <c r="K42" i="2"/>
  <c r="E35" i="2"/>
  <c r="W34" i="2"/>
  <c r="E34" i="2"/>
  <c r="W33" i="2"/>
  <c r="W32" i="2"/>
  <c r="K32" i="2"/>
  <c r="Q32" i="2" s="1"/>
  <c r="W31" i="2"/>
  <c r="Q31" i="2"/>
  <c r="E31" i="2"/>
  <c r="W30" i="2"/>
  <c r="K30" i="2"/>
  <c r="Q30" i="2" s="1"/>
  <c r="E30" i="2"/>
  <c r="W29" i="2"/>
  <c r="Q29" i="2"/>
  <c r="K29" i="2"/>
  <c r="E29" i="2"/>
  <c r="W28" i="2"/>
  <c r="K28" i="2"/>
  <c r="Q28" i="2" s="1"/>
  <c r="E28" i="2"/>
  <c r="W27" i="2"/>
  <c r="Q27" i="2"/>
  <c r="K26" i="2"/>
  <c r="Q26" i="2" s="1"/>
  <c r="E26" i="2"/>
  <c r="W26" i="2" s="1"/>
  <c r="W25" i="2"/>
  <c r="K25" i="2"/>
  <c r="E25" i="2"/>
  <c r="W24" i="2"/>
  <c r="K24" i="2"/>
  <c r="E24" i="2"/>
  <c r="E23" i="2"/>
  <c r="W23" i="2" s="1"/>
  <c r="W22" i="2"/>
  <c r="K22" i="2"/>
  <c r="Q22" i="2" s="1"/>
  <c r="E22" i="2"/>
  <c r="W21" i="2"/>
  <c r="K21" i="2"/>
  <c r="E21" i="2"/>
  <c r="K20" i="2"/>
  <c r="Q20" i="2" s="1"/>
  <c r="E20" i="2"/>
  <c r="W20" i="2" s="1"/>
  <c r="K19" i="2"/>
  <c r="Q19" i="2" s="1"/>
  <c r="E19" i="2"/>
  <c r="W19" i="2" s="1"/>
  <c r="W18" i="2"/>
  <c r="K18" i="2"/>
  <c r="Q18" i="2" s="1"/>
  <c r="E18" i="2"/>
  <c r="W17" i="2"/>
  <c r="K17" i="2"/>
  <c r="Q17" i="2" s="1"/>
  <c r="E17" i="2"/>
  <c r="K16" i="2"/>
  <c r="Q16" i="2" s="1"/>
  <c r="E16" i="2"/>
  <c r="W16" i="2" s="1"/>
  <c r="K15" i="2"/>
  <c r="Q15" i="2" s="1"/>
  <c r="E15" i="2"/>
  <c r="W15" i="2" s="1"/>
  <c r="W14" i="2"/>
  <c r="K14" i="2"/>
  <c r="Q14" i="2" s="1"/>
  <c r="E14" i="2"/>
  <c r="W13" i="2"/>
  <c r="K13" i="2"/>
  <c r="E13" i="2"/>
  <c r="K12" i="2"/>
  <c r="Q12" i="2" s="1"/>
  <c r="E12" i="2"/>
  <c r="W12" i="2" s="1"/>
  <c r="K11" i="2"/>
  <c r="Q11" i="2" s="1"/>
  <c r="E11" i="2"/>
  <c r="W11" i="2" s="1"/>
  <c r="W10" i="2"/>
  <c r="K10" i="2"/>
  <c r="Q10" i="2" s="1"/>
  <c r="E10" i="2"/>
  <c r="W9" i="2"/>
  <c r="K9" i="2"/>
  <c r="Q9" i="2" s="1"/>
  <c r="E9" i="2"/>
  <c r="W8" i="2"/>
  <c r="Q8" i="2"/>
  <c r="E8" i="2"/>
  <c r="E7" i="2"/>
  <c r="W7" i="2" s="1"/>
  <c r="K6" i="2"/>
  <c r="Q6" i="2" s="1"/>
  <c r="E6" i="2"/>
  <c r="W6" i="2" s="1"/>
  <c r="K5" i="2"/>
  <c r="Q5" i="2" s="1"/>
  <c r="E5" i="2"/>
  <c r="W5" i="2" s="1"/>
  <c r="K4" i="2"/>
  <c r="Q4" i="2" s="1"/>
  <c r="E4" i="2"/>
  <c r="E37" i="2" s="1"/>
  <c r="F64" i="1" s="1"/>
  <c r="M256" i="1"/>
  <c r="J254" i="1"/>
  <c r="I254" i="1"/>
  <c r="I252" i="1"/>
  <c r="J252" i="1" s="1"/>
  <c r="J251" i="1"/>
  <c r="I251" i="1"/>
  <c r="I250" i="1"/>
  <c r="J250" i="1" s="1"/>
  <c r="J249" i="1"/>
  <c r="I249" i="1"/>
  <c r="I248" i="1"/>
  <c r="J248" i="1" s="1"/>
  <c r="F246" i="1"/>
  <c r="I245" i="1"/>
  <c r="J245" i="1" s="1"/>
  <c r="I244" i="1"/>
  <c r="J244" i="1" s="1"/>
  <c r="I242" i="1"/>
  <c r="J242" i="1" s="1"/>
  <c r="J237" i="1"/>
  <c r="I237" i="1"/>
  <c r="I236" i="1"/>
  <c r="J236" i="1" s="1"/>
  <c r="J235" i="1"/>
  <c r="I235" i="1"/>
  <c r="I233" i="1"/>
  <c r="J233" i="1" s="1"/>
  <c r="J232" i="1"/>
  <c r="I232" i="1"/>
  <c r="I231" i="1"/>
  <c r="J231" i="1" s="1"/>
  <c r="J230" i="1"/>
  <c r="I230" i="1"/>
  <c r="I229" i="1"/>
  <c r="J229" i="1" s="1"/>
  <c r="J228" i="1"/>
  <c r="I228" i="1"/>
  <c r="I227" i="1"/>
  <c r="J227" i="1" s="1"/>
  <c r="J226" i="1"/>
  <c r="I226" i="1"/>
  <c r="I225" i="1"/>
  <c r="J225" i="1" s="1"/>
  <c r="J224" i="1"/>
  <c r="I224" i="1"/>
  <c r="I223" i="1"/>
  <c r="J223" i="1" s="1"/>
  <c r="J222" i="1"/>
  <c r="I222" i="1"/>
  <c r="I221" i="1"/>
  <c r="J221" i="1" s="1"/>
  <c r="J220" i="1"/>
  <c r="I220" i="1"/>
  <c r="I219" i="1"/>
  <c r="J219" i="1" s="1"/>
  <c r="J218" i="1"/>
  <c r="I218" i="1"/>
  <c r="I217" i="1"/>
  <c r="J217" i="1" s="1"/>
  <c r="J216" i="1"/>
  <c r="I216" i="1"/>
  <c r="I215" i="1"/>
  <c r="J215" i="1" s="1"/>
  <c r="J214" i="1"/>
  <c r="I214" i="1"/>
  <c r="I213" i="1"/>
  <c r="J213" i="1" s="1"/>
  <c r="J212" i="1"/>
  <c r="I212" i="1"/>
  <c r="I211" i="1"/>
  <c r="J211" i="1" s="1"/>
  <c r="J210" i="1"/>
  <c r="I210" i="1"/>
  <c r="I209" i="1"/>
  <c r="J209" i="1" s="1"/>
  <c r="J208" i="1"/>
  <c r="I208" i="1"/>
  <c r="I207" i="1"/>
  <c r="J207" i="1" s="1"/>
  <c r="J206" i="1"/>
  <c r="I206" i="1"/>
  <c r="I205" i="1"/>
  <c r="J205" i="1" s="1"/>
  <c r="J204" i="1"/>
  <c r="I204" i="1"/>
  <c r="I203" i="1"/>
  <c r="J203" i="1" s="1"/>
  <c r="J202" i="1"/>
  <c r="I202" i="1"/>
  <c r="I201" i="1"/>
  <c r="J201" i="1" s="1"/>
  <c r="J200" i="1"/>
  <c r="I200" i="1"/>
  <c r="I199" i="1"/>
  <c r="J199" i="1" s="1"/>
  <c r="J198" i="1"/>
  <c r="I198" i="1"/>
  <c r="I197" i="1"/>
  <c r="J197" i="1" s="1"/>
  <c r="J193" i="1"/>
  <c r="I193" i="1"/>
  <c r="I192" i="1"/>
  <c r="J192" i="1" s="1"/>
  <c r="J191" i="1"/>
  <c r="I191" i="1"/>
  <c r="I190" i="1"/>
  <c r="J190" i="1" s="1"/>
  <c r="J189" i="1"/>
  <c r="I189" i="1"/>
  <c r="I187" i="1"/>
  <c r="J187" i="1" s="1"/>
  <c r="J186" i="1"/>
  <c r="I186" i="1"/>
  <c r="I185" i="1"/>
  <c r="J185" i="1" s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H135" i="1"/>
  <c r="G135" i="1"/>
  <c r="I135" i="1" s="1"/>
  <c r="J135" i="1" s="1"/>
  <c r="J133" i="1"/>
  <c r="I133" i="1"/>
  <c r="I132" i="1"/>
  <c r="J132" i="1" s="1"/>
  <c r="J131" i="1"/>
  <c r="I131" i="1"/>
  <c r="I130" i="1"/>
  <c r="J130" i="1" s="1"/>
  <c r="J129" i="1"/>
  <c r="I129" i="1"/>
  <c r="I128" i="1"/>
  <c r="J128" i="1" s="1"/>
  <c r="J127" i="1"/>
  <c r="I127" i="1"/>
  <c r="I126" i="1"/>
  <c r="J126" i="1" s="1"/>
  <c r="J125" i="1"/>
  <c r="I125" i="1"/>
  <c r="I124" i="1"/>
  <c r="J124" i="1" s="1"/>
  <c r="J123" i="1"/>
  <c r="I123" i="1"/>
  <c r="I122" i="1"/>
  <c r="J122" i="1" s="1"/>
  <c r="J121" i="1"/>
  <c r="I121" i="1"/>
  <c r="I120" i="1"/>
  <c r="J120" i="1" s="1"/>
  <c r="J119" i="1"/>
  <c r="I119" i="1"/>
  <c r="I118" i="1"/>
  <c r="J118" i="1" s="1"/>
  <c r="J117" i="1"/>
  <c r="I117" i="1"/>
  <c r="I116" i="1"/>
  <c r="J116" i="1" s="1"/>
  <c r="J115" i="1"/>
  <c r="I115" i="1"/>
  <c r="I114" i="1"/>
  <c r="J114" i="1" s="1"/>
  <c r="J113" i="1"/>
  <c r="I113" i="1"/>
  <c r="I112" i="1"/>
  <c r="J112" i="1" s="1"/>
  <c r="J111" i="1"/>
  <c r="I111" i="1"/>
  <c r="I110" i="1"/>
  <c r="J110" i="1" s="1"/>
  <c r="J109" i="1"/>
  <c r="I109" i="1"/>
  <c r="I108" i="1"/>
  <c r="J108" i="1" s="1"/>
  <c r="J107" i="1"/>
  <c r="I107" i="1"/>
  <c r="I106" i="1"/>
  <c r="J106" i="1" s="1"/>
  <c r="J105" i="1"/>
  <c r="I105" i="1"/>
  <c r="I104" i="1"/>
  <c r="J104" i="1" s="1"/>
  <c r="J103" i="1"/>
  <c r="I103" i="1"/>
  <c r="I102" i="1"/>
  <c r="J102" i="1" s="1"/>
  <c r="J101" i="1"/>
  <c r="I101" i="1"/>
  <c r="I100" i="1"/>
  <c r="J100" i="1" s="1"/>
  <c r="J99" i="1"/>
  <c r="I99" i="1"/>
  <c r="I98" i="1"/>
  <c r="J98" i="1" s="1"/>
  <c r="J97" i="1"/>
  <c r="I97" i="1"/>
  <c r="I96" i="1"/>
  <c r="J96" i="1" s="1"/>
  <c r="J94" i="1"/>
  <c r="I93" i="1"/>
  <c r="J93" i="1" s="1"/>
  <c r="I92" i="1"/>
  <c r="J92" i="1" s="1"/>
  <c r="I91" i="1"/>
  <c r="J91" i="1" s="1"/>
  <c r="J90" i="1"/>
  <c r="J88" i="1"/>
  <c r="I88" i="1"/>
  <c r="J87" i="1"/>
  <c r="I87" i="1"/>
  <c r="J85" i="1"/>
  <c r="I85" i="1"/>
  <c r="J84" i="1"/>
  <c r="I84" i="1"/>
  <c r="J83" i="1"/>
  <c r="I83" i="1"/>
  <c r="J82" i="1"/>
  <c r="I82" i="1"/>
  <c r="J79" i="1"/>
  <c r="I79" i="1"/>
  <c r="J78" i="1"/>
  <c r="I78" i="1"/>
  <c r="J77" i="1"/>
  <c r="I77" i="1"/>
  <c r="J74" i="1"/>
  <c r="I74" i="1"/>
  <c r="J73" i="1"/>
  <c r="I73" i="1"/>
  <c r="H72" i="1"/>
  <c r="I72" i="1" s="1"/>
  <c r="G72" i="1"/>
  <c r="I71" i="1"/>
  <c r="H71" i="1"/>
  <c r="G71" i="1"/>
  <c r="F71" i="1"/>
  <c r="J71" i="1" s="1"/>
  <c r="I69" i="1"/>
  <c r="I68" i="1"/>
  <c r="I67" i="1"/>
  <c r="I66" i="1"/>
  <c r="J66" i="1" s="1"/>
  <c r="J65" i="1"/>
  <c r="I65" i="1"/>
  <c r="I62" i="1"/>
  <c r="J62" i="1" s="1"/>
  <c r="I61" i="1"/>
  <c r="I60" i="1"/>
  <c r="J60" i="1" s="1"/>
  <c r="I59" i="1"/>
  <c r="J57" i="1"/>
  <c r="I57" i="1"/>
  <c r="J56" i="1"/>
  <c r="I56" i="1"/>
  <c r="I55" i="1"/>
  <c r="I54" i="1"/>
  <c r="J54" i="1" s="1"/>
  <c r="I53" i="1"/>
  <c r="I52" i="1"/>
  <c r="I51" i="1"/>
  <c r="I50" i="1"/>
  <c r="I49" i="1"/>
  <c r="I48" i="1"/>
  <c r="I46" i="1"/>
  <c r="J46" i="1" s="1"/>
  <c r="H45" i="1"/>
  <c r="G45" i="1"/>
  <c r="I45" i="1" s="1"/>
  <c r="J45" i="1" s="1"/>
  <c r="I44" i="1"/>
  <c r="J44" i="1" s="1"/>
  <c r="H44" i="1"/>
  <c r="G44" i="1"/>
  <c r="H42" i="1"/>
  <c r="I42" i="1" s="1"/>
  <c r="G42" i="1"/>
  <c r="I40" i="1"/>
  <c r="F40" i="1"/>
  <c r="J40" i="1" s="1"/>
  <c r="I39" i="1"/>
  <c r="J39" i="1" s="1"/>
  <c r="I38" i="1"/>
  <c r="J38" i="1" s="1"/>
  <c r="F38" i="1"/>
  <c r="J37" i="1"/>
  <c r="I37" i="1"/>
  <c r="J36" i="1"/>
  <c r="I36" i="1"/>
  <c r="J34" i="1"/>
  <c r="I34" i="1"/>
  <c r="I33" i="1"/>
  <c r="I31" i="1"/>
  <c r="J31" i="1" s="1"/>
  <c r="F31" i="1"/>
  <c r="I30" i="1"/>
  <c r="F30" i="1"/>
  <c r="J30" i="1" s="1"/>
  <c r="J29" i="1"/>
  <c r="I29" i="1"/>
  <c r="F29" i="1"/>
  <c r="I28" i="1"/>
  <c r="J28" i="1" s="1"/>
  <c r="L27" i="1"/>
  <c r="L29" i="1" s="1"/>
  <c r="I27" i="1"/>
  <c r="F27" i="1"/>
  <c r="J27" i="1" s="1"/>
  <c r="J26" i="1"/>
  <c r="I26" i="1"/>
  <c r="I25" i="1"/>
  <c r="J25" i="1" s="1"/>
  <c r="I24" i="1"/>
  <c r="J24" i="1" s="1"/>
  <c r="F24" i="1"/>
  <c r="I23" i="1"/>
  <c r="J23" i="1" s="1"/>
  <c r="J21" i="1"/>
  <c r="I21" i="1"/>
  <c r="I20" i="1"/>
  <c r="J20" i="1" s="1"/>
  <c r="H19" i="1"/>
  <c r="G19" i="1"/>
  <c r="J18" i="1"/>
  <c r="I18" i="1"/>
  <c r="I17" i="1"/>
  <c r="F17" i="1"/>
  <c r="J17" i="1" s="1"/>
  <c r="I16" i="1"/>
  <c r="F16" i="1"/>
  <c r="F69" i="1" l="1"/>
  <c r="J69" i="1" s="1"/>
  <c r="F67" i="1"/>
  <c r="J67" i="1" s="1"/>
  <c r="W37" i="2"/>
  <c r="K26" i="5"/>
  <c r="K13" i="5"/>
  <c r="Q75" i="2"/>
  <c r="I19" i="1"/>
  <c r="J19" i="1" s="1"/>
  <c r="W89" i="2"/>
  <c r="F68" i="1" s="1"/>
  <c r="J68" i="1" s="1"/>
  <c r="K75" i="2"/>
  <c r="F243" i="1"/>
  <c r="J16" i="1"/>
  <c r="E75" i="2"/>
  <c r="K37" i="2"/>
  <c r="Q13" i="2"/>
  <c r="Q37" i="2" s="1"/>
  <c r="F48" i="1" s="1"/>
  <c r="Q21" i="2"/>
  <c r="F50" i="1" l="1"/>
  <c r="J50" i="1" s="1"/>
  <c r="F49" i="1"/>
  <c r="J49" i="1" s="1"/>
  <c r="J48" i="1"/>
  <c r="K27" i="5"/>
  <c r="K28" i="5" s="1"/>
  <c r="F51" i="1"/>
  <c r="F59" i="1"/>
  <c r="F42" i="1"/>
  <c r="J42" i="1" s="1"/>
  <c r="F72" i="1"/>
  <c r="J72" i="1" s="1"/>
  <c r="J59" i="1" l="1"/>
  <c r="F61" i="1"/>
  <c r="J61" i="1" s="1"/>
  <c r="F55" i="1"/>
  <c r="J55" i="1" s="1"/>
  <c r="F53" i="1"/>
  <c r="J53" i="1" s="1"/>
  <c r="J51" i="1"/>
  <c r="F52" i="1"/>
  <c r="J52" i="1" s="1"/>
  <c r="J256" i="1" l="1"/>
  <c r="J257" i="1" l="1"/>
  <c r="J258" i="1" s="1"/>
</calcChain>
</file>

<file path=xl/sharedStrings.xml><?xml version="1.0" encoding="utf-8"?>
<sst xmlns="http://schemas.openxmlformats.org/spreadsheetml/2006/main" count="1954" uniqueCount="471">
  <si>
    <t>OBRA: Serviço de Manutenção Predial Edificação(s) do COREN- GOIÁS</t>
  </si>
  <si>
    <t>TABELA REFERÊNCIA: SINAPI - SISTEMA NACIONAL DE PESQUISA DE CUSTOS E ÍNDICES DA CONSTRUÇÃO CIVIL - JULHO 2023.</t>
  </si>
  <si>
    <t>TABELA REFERÊNCIA: GOINFRA - AGÊNCIA GOIANA DE INFRAESTRUTRA E TRANSPORTE - JUNHO 2023.</t>
  </si>
  <si>
    <t>TABELA REFERÊNCIA: GOINFRA - ORSE</t>
  </si>
  <si>
    <t>FOI UTILIZADO A PLANILHA DESONERADA</t>
  </si>
  <si>
    <t>CODIGO</t>
  </si>
  <si>
    <t xml:space="preserve">TABELA DE REFERÊNCIA </t>
  </si>
  <si>
    <t>DESCRIÇÃO</t>
  </si>
  <si>
    <t>UNID</t>
  </si>
  <si>
    <t>QUANTIDADE</t>
  </si>
  <si>
    <t>MATERIAL</t>
  </si>
  <si>
    <t>MÃO DE OBRA</t>
  </si>
  <si>
    <t>TOTAL DA COMPOSIÇÃO</t>
  </si>
  <si>
    <t>TOTAL</t>
  </si>
  <si>
    <t xml:space="preserve">COBERTURA / TELHADO </t>
  </si>
  <si>
    <t xml:space="preserve"> 94227 </t>
  </si>
  <si>
    <t>SINAPI</t>
  </si>
  <si>
    <t>CALHA EM CHAPA DE AÇO GALVANIZADA NUMERO 24, DESENVOLVIMENTO DE 33 CM INCLUSO TRANPORTE VERTICAL</t>
  </si>
  <si>
    <t>M</t>
  </si>
  <si>
    <t xml:space="preserve"> 94231 </t>
  </si>
  <si>
    <t>RUFO EM CHAPA DE AÇO GALVANIZADO NÚMERO 24, CORTE DE 25 CM, INCLUSO TRANSPORTE VERTICAL. AF_07/2019</t>
  </si>
  <si>
    <t>TRAMA DE MADEIRA COMPOSTA POR TERÇAS PARA TELHADOS DE ATÉ 2 ÁGUAS PARA TELHA ONDULADA DE FIBROCIMENTO, METÁLICA, PLÁSTICA OU TERMOACÚSTICA, INCLUSO TRANSPORTE VERTICAL. AF_07/2019.</t>
  </si>
  <si>
    <t>M²</t>
  </si>
  <si>
    <t>TELHAMENTO COM TELHA CERÂMICA CAPA-CANAL, TIPO PLAN, COM MAIS DE 2 ÁGUAS, INCLUSO TRANSPORTE VERTICAL. AF_07/2019</t>
  </si>
  <si>
    <t>TELHAMENTO COM TELHA ESTRUTURAL DE FIBROCIMENTO E= 8 MM, COM ATÉ 2 ÁGUAS,INCLUSO IÇAMENTO. AF_07/2019_PS</t>
  </si>
  <si>
    <t>GOINFRA  CIVIL</t>
  </si>
  <si>
    <t xml:space="preserve"> DEMOLIÇÃO MANUAL DE COBERTURA EM TELHA CERAMICA COM TRANSPORTE ATÉ CAÇAMBA E CARGA</t>
  </si>
  <si>
    <t xml:space="preserve">PORTAS </t>
  </si>
  <si>
    <t>BATENTE PATA PORTA DE MADEIRA FIXAÇÃO COM ARGAMASSA PADRÃO MÉDIO FORNECOMENTO E INSTALAÇÃO  AF 12/2019</t>
  </si>
  <si>
    <t>UN</t>
  </si>
  <si>
    <t>PORTA DE MADEIRA PARA PINTURA, SEMI-OCA (LEVE OU MÉDIA), 60X210CM, ESPESSURA DE 3,5CM, INCLUSO DOBRADIÇAS - FORNECIMENTO E INSTALAÇÃO. AF_08/2015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</si>
  <si>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</si>
  <si>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</si>
  <si>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ALIZAR DE 5X1,5CM PARA PORTA FIXADO COM PREGOS, PADRÃO MÉDIO - FORNECIMENTO E INSTALAÇÃO. AF_12/2019</t>
  </si>
  <si>
    <t>FECHADURA DE EMBUTIR COM CILINDRO, EXTERNA, COMPLETA, ACABAMENTO PADRÃO MÉDIO, INCLUSO EXECUÇÃO DE FURO - FORNECIMENTO E INSTALAÇÃO. AF_08/2015</t>
  </si>
  <si>
    <t>PORTA EM ALUMÍNIO DE ABRIR TIPO VENEZIANA COM GUARNIÇÃO, FIXAÇÃO COM PARAFUSOS - FORNECIMENTO E INSTALAÇÃO. AF_08/2015</t>
  </si>
  <si>
    <t xml:space="preserve">PINTURA VERNIZ INCOLOR ALIQUÍDICO EM MADEIRA USO INTERNO E EXTERNO </t>
  </si>
  <si>
    <t xml:space="preserve"> DOBRADICA 3" x 3 1/2" FERRO POLIDO</t>
  </si>
  <si>
    <t>JANELAS</t>
  </si>
  <si>
    <t>JANELA DE ALUMÍNIO DE CORRER, 2 FOLHAS, FIXAÇÃO COM PARAFUSO SOBRE CONTRAMARCO (EXCLUSIVE CONTRAMARCO), COM VIDROS PADRONIZADA. AF_07/2016</t>
  </si>
  <si>
    <t>CONTRAMARCO DE ALUMÍNIO, FIXAÇÃO COM PARAFUSO - FORNECIMENTO E INSTALAÇÃO. M
 AF_12/2019</t>
  </si>
  <si>
    <t>VIDROS E ESPELHOS</t>
  </si>
  <si>
    <t>JOGO DE FERRAGENS CROMADAS PARA PORTA DE VIDRO TEMPERADO UMA FOLHA COMPOSTA POR DOBRADIÇAS SUPEIOR E INFERIOR, TRINCO FECHADURA, CONTRA FECHADURA COM CAPUCHINHOS SEM MOLA E PUXADOR  AF01/2021</t>
  </si>
  <si>
    <t xml:space="preserve">INSTALAÇÃO DE VIDRO TEMPERADO E= 6 MM, ENCAIXADO EM PERFIL U </t>
  </si>
  <si>
    <t xml:space="preserve">INSTALAÇÃO DE VIDRO TEMPERADO E= 8 MM, ENCAIXADO EM PERFIL U </t>
  </si>
  <si>
    <t xml:space="preserve">PORTA PIVOTANTE DE VIDRO TEMPERADO 90 X 210 CM, E = 10 MM INCLUSIVE ACESSORIOS </t>
  </si>
  <si>
    <t>VIDRO TEMPERADO INCOLOR, ESPESSURA 10 MM, FORNECIMENTO E INSTALACAO, INCLUSIVE MASSA PARA VEDACAO</t>
  </si>
  <si>
    <t xml:space="preserve">CINTAS E VERGAS </t>
  </si>
  <si>
    <t>VERGA PRÉ-MOLDADA PARA JANELAS COM ATÉ 1,5 M DE VÃO. AF_03/2016</t>
  </si>
  <si>
    <t>IMPERMEABILIZAÇÃO</t>
  </si>
  <si>
    <t>IMPERMEABILIZAÇÃO DE PISO COM ARGAMASSA DE CIMENTO E AREIA, COM ADITIVO IMPERMEABILIZANTE, E = 2CM. AF_06/2018</t>
  </si>
  <si>
    <t>IMPERMEABILIZAÇÃO DE PAREDES COM ARGAMASSA DE CIMENTO E AREIA, COM ADITIVO IMPERMEABILIZANTE, E = 2CM. AF_06/2018</t>
  </si>
  <si>
    <t>IMPERMEABILIZAÇÃO DE PAREDES COM ARGAMASSA DE CIMENTO E AREIA, COM ADITIVO IMPERMEABILIZANTE, E = 2CM. AF_06/2018IMPERMEABILIZAÇÃO DE PAREDES COM ARGAMASSA DE CIMENTO E AREIA, COM ADITIVO IMPERMEABILIZANTE, E = 2CM. AF_06/2018IMPERMEABILIZAÇÃO DE PAREDES COM ARGAMASSA DE CIMENTO E AREIA, COM ADITIVO IMPERMEABILIZANTE, E = 2CM. AF_06/2018</t>
  </si>
  <si>
    <t>PINTURAS INTERNAS E EXTERNAS</t>
  </si>
  <si>
    <t xml:space="preserve"> 88497 </t>
  </si>
  <si>
    <t>APLICAÇÃO E LIXAMENTO DE MASSA LÁTEX EM PAREDES, DUAS DEMÃOS. AF_06/2014</t>
  </si>
  <si>
    <t xml:space="preserve"> 88485 </t>
  </si>
  <si>
    <t>APLICAÇÃO DE FUNDO SELADOR ACRÍLICO EM PAREDES, UMA DEMÃO. AF_06/2014</t>
  </si>
  <si>
    <t>APLICAÇÃO MANUAL DE PINTURA COM TINTA LÁTEX ACRÍLICA EM PAREDES, DUAS DEMÃOS. AF_06/2014</t>
  </si>
  <si>
    <t xml:space="preserve"> 88496 </t>
  </si>
  <si>
    <t>APLICAÇÃO E LIXAMENTO DE MASSA LÁTEX EM TETO, DUAS DEMÃOS. AF_06/2014</t>
  </si>
  <si>
    <t xml:space="preserve"> 88488 </t>
  </si>
  <si>
    <t>APLICAÇÃO MANUAL DE PINTURA COM TINTA LÁTEX ACRÍLICA EM TETO, DUAS DEMÃOS. AF_06/2014</t>
  </si>
  <si>
    <t xml:space="preserve"> 88484 </t>
  </si>
  <si>
    <t>APLICAÇÃO DE FUNDO SELADOR ACRÍLICO EM TETO, UMA DEMÃO. AF_06/2014</t>
  </si>
  <si>
    <t xml:space="preserve"> 95305 </t>
  </si>
  <si>
    <t>TEXTURA ACRÍLICA, APLICAÇÃO MANUAL EM PAREDE, UMA DEMÃO. AF_09/2016</t>
  </si>
  <si>
    <t xml:space="preserve"> 210225 </t>
  </si>
  <si>
    <t>SBC</t>
  </si>
  <si>
    <t>LONA DE PROTECAO EM PLASTICO PRETO IGNIFICO</t>
  </si>
  <si>
    <t xml:space="preserve"> 011173 </t>
  </si>
  <si>
    <t>FITA ADESIVA COMUM CREPE 19mmx50,0m</t>
  </si>
  <si>
    <t xml:space="preserve"> PINTURA ESMALTE SEM FUNDO ANTICORROSIVO 2 DEMAOS</t>
  </si>
  <si>
    <t>FORRO EM GESSO</t>
  </si>
  <si>
    <t xml:space="preserve">FORRO EM PLACA DE GESSO, PARA AMBIENTES RESIDENCIAIS </t>
  </si>
  <si>
    <t xml:space="preserve">TABICA PARA FORRO DE GESSO INSTALAÇÃO INCLUSA </t>
  </si>
  <si>
    <t>ACABAMENTO PARA FORRO (MOLDUA DE GESSO)</t>
  </si>
  <si>
    <t>ACABAMENTO PARA FORRO ( SANCA DE GESSO )</t>
  </si>
  <si>
    <t xml:space="preserve">PISOS E REVESTIMENTOS </t>
  </si>
  <si>
    <t xml:space="preserve"> 120101 </t>
  </si>
  <si>
    <t>REGULARIZAÇÃO (1:3) E=2 CM</t>
  </si>
  <si>
    <t>PISO EM MÁRMORE APLICADO EM AMBIENTES INTERNOS. AF_09/2020</t>
  </si>
  <si>
    <t>RODAPÉ EM GRANITO, ALTURA 10 CM. AF_09/2020</t>
  </si>
  <si>
    <t>022081</t>
  </si>
  <si>
    <t xml:space="preserve">RETIRADA/ DEMOLIÇÃO DE PISO CERAMICO COM REMOÇÃO ENSACADA </t>
  </si>
  <si>
    <t>REVESTIMENTO 32x59cm INSERTO ESMALTADO ACETINADO RETIFICADO</t>
  </si>
  <si>
    <t>PISREVESTIMENTO CERÂMICO PARA PISO COM PLACAS TIPO PORCELANATO DE DIMENSÕES 45X45 CM APLICADA EM AMBIENTES DE ÁREA ENTRE 5 M² E 10 M². AF_02/2023_PE</t>
  </si>
  <si>
    <t xml:space="preserve">BANCADAS EM MARMORES </t>
  </si>
  <si>
    <t>DIVISORIAS EM MARMORE DIVISORIA SANITÁRIA, TIPO CABINE, EM MÁRMORE BRANCO POLIDO, ESP = 3CM,AS ENTADO COM ARGAMASSA COLANTE AC III-E, EXCLUSIVE FERRAGENS. AF_01/2021</t>
  </si>
  <si>
    <t xml:space="preserve">PEITORIL  EM MARMORE </t>
  </si>
  <si>
    <t>LAVATÓRIO LOUÇA BRANCA COM COLUNA, *44 X 35,5* CM, PADRÃO POPULAR  FORNECIMENTO E INSTALAÇÃO. AF_01/2020</t>
  </si>
  <si>
    <t>TANQUE DE LOUÇA BRANCA COM COLUNA, 30L OU EQUIVALENTE - FORNECIMENTO E INSTALAÇÃO. AF_01/2020</t>
  </si>
  <si>
    <t>LOUÇAS E METAIS</t>
  </si>
  <si>
    <t xml:space="preserve"> 190416 </t>
  </si>
  <si>
    <t>SIFAO CROMADO PARA MICTORIO</t>
  </si>
  <si>
    <t>MICTÓRIO SIFONADO LOUÇA BRANCA PARA ENTRADA DE ÁGUA EMBUTIDA  PADRÃO MEDIO  FORNECIMENTO E INSTALAÇÃO. AF_01/2020</t>
  </si>
  <si>
    <t>GOINFRA CIVIL</t>
  </si>
  <si>
    <t>VALVULA LAVATÓRIO</t>
  </si>
  <si>
    <t>SIFAO DO TIPO FLEXIVEL EM PVC 1 X 1 1/2 - FORNECIMENTO E INSTALAÇÃO</t>
  </si>
  <si>
    <t>COTAÇÃO</t>
  </si>
  <si>
    <t>REPARO DE REGISTRO</t>
  </si>
  <si>
    <t>REPARO PARA VALVULA DE DESCARGA</t>
  </si>
  <si>
    <t xml:space="preserve"> 86884 </t>
  </si>
  <si>
    <t>ENGATE FLEXÍVEL EM PLÁSTICO BRANCO, 1/2 X 30CM - FORNECIMENTO E INSTALAÇÃO. AF_01/2020</t>
  </si>
  <si>
    <t>REMOÇÃO MANUAL DE METAL SANITÁRIO (VÁLVULAS/SIFÃO/REGISTROS TORNEIRAS E OUTROS .</t>
  </si>
  <si>
    <t xml:space="preserve">REGISTRO DE GAVETA BRUTO DIAMENTRO DE 1/2 </t>
  </si>
  <si>
    <t>REGISTRO DE GAVETA BRUTO DIAMENTRO DE 3/4</t>
  </si>
  <si>
    <t xml:space="preserve"> 052357 </t>
  </si>
  <si>
    <t>ACABAMENTO DE REGISTRO PRESSAO CROMADO 1"" TARGA DECA</t>
  </si>
  <si>
    <t xml:space="preserve"> 86915 </t>
  </si>
  <si>
    <t>TORNEIRA CROMADA DE MESA, 1/2 OU 3/4, PARA LAVATÓRIO, PADRÃO MÉDIO - FORNECIMENTO E INSTALAÇÃO. AF_01/2020</t>
  </si>
  <si>
    <t xml:space="preserve"> 86909 </t>
  </si>
  <si>
    <t>TORNEIRA CROMADA TUBO MÓVEL, DE MESA, 1/2 OU 3/4, PARA PIA DE COZINHA, PADRÃO ALTO - FORNECIMENTO E INSTALAÇÃO. AF_01/2020</t>
  </si>
  <si>
    <t>PORTA-PAPEL TOALHA CAIXA DE ALUMINIO</t>
  </si>
  <si>
    <t xml:space="preserve"> 00002701 </t>
  </si>
  <si>
    <t>INSTALADOR DE TUBULACOES (TUBOS/EQUIPAMENTOS)</t>
  </si>
  <si>
    <t>H</t>
  </si>
  <si>
    <t xml:space="preserve"> 86913 </t>
  </si>
  <si>
    <t>TORNEIRA CROMADA 1/2 OU 3/4 PARA TANQUE, PADRÃO POPULAR - FORNECIMENTO E INSTALAÇÃO. AF_01/2020</t>
  </si>
  <si>
    <t>RASGO EM ALVENARIA PARA RAMAIS/ DISTRIBUIÇÃO COM DIAMETROS MENORES OU IGUAIS A 40 MM. AF_05/2015</t>
  </si>
  <si>
    <t xml:space="preserve"> 100868 </t>
  </si>
  <si>
    <t>BARRA DE APOIO RETA, EM ACO INOX POLIDO, COMPRIMENTO 80 CM,  FIXADA NA PAREDE - FORNECIMENTO E INSTALAÇÃO. AF_01/2020</t>
  </si>
  <si>
    <t xml:space="preserve">SILICONE </t>
  </si>
  <si>
    <t>INSTALAÇÕES DE ÁGUA FRIA</t>
  </si>
  <si>
    <t>TUBO, PVC, SOLDÁVEL, DN 20MM, INSTALADO EM RAMAL DE DISTRIBUIÇÃO DE ÁGUA - FORNECIMENTO E INSTALAÇÃO. AF_12/2014</t>
  </si>
  <si>
    <t>TUBO, PVC, SOLDÁVEL, DN 25MM, INSTALADO EM PRUMADA DE ÁGUA - FORNECIMENTO E INSTALAÇÃO. AF_06/2022</t>
  </si>
  <si>
    <t>TUBO, PVC, SOLDÁVEL, DN 32MM, INSTALADO EM PRUMADA DE ÁGUA - FORNECIMENTO E INSTALAÇÃO. AF_06/2022</t>
  </si>
  <si>
    <t xml:space="preserve"> 89449 </t>
  </si>
  <si>
    <t>TUBO, PVC, SOLDÁVEL, DN 50MM, INSTALADO EM PRUMADA DE ÁGUA - FORNECIMENTO E INSTALAÇÃO. AF_06/2022</t>
  </si>
  <si>
    <t xml:space="preserve"> 89450 </t>
  </si>
  <si>
    <t>TUBO, PVC, SOLDÁVEL, DN 60MM, INSTALADO EM PRUMADA DE ÁGUA - FORNECIMENTO E INSTALAÇÃO. AF_06/2022</t>
  </si>
  <si>
    <t>JOELHO 90 GRAUS, PVC, SOLDÁVEL, DN 20MM, INSTALADO EM RAMAL OU SUB-RAMAL DE ÁGUA - FORNECIMENTO E INSTALAÇÃO. AF_12/2014</t>
  </si>
  <si>
    <t xml:space="preserve"> 89481 </t>
  </si>
  <si>
    <t>JOELHO 90 GRAUS, PVC, SOLDÁVEL, DN 25MM, INSTALADO EM PRUMADA DE ÁGUA - FORNECIMENTO E INSTALAÇÃO. AF_06/2022</t>
  </si>
  <si>
    <t>JOELHO 90 GRAUS, PVC, SOLDÁVEL, DN 32MM, INSTALADO EM PRUMADA DE ÁGUA - FORNECIMENTO E INSTALAÇÃO. AF_06/2022</t>
  </si>
  <si>
    <t xml:space="preserve"> 89501 </t>
  </si>
  <si>
    <t>JOELHO 90 GRAUS, PVC, SOLDÁVEL, DN 50MM, INSTALADO EM PRUMADA DE ÁGUA - FORNECIMENTO E INSTALAÇÃO. AF_06/2022</t>
  </si>
  <si>
    <t>JOELHO 45 GRAUS, PVC, SOLDÁVEL, DN 20MM, INSTALADO EM RAMAL OU SUB-RAMAL DE ÁGUA - FORNECIMENTO E INSTALAÇÃO. AF_12/2014</t>
  </si>
  <si>
    <t>JOELHO 45 GRAUS, PVC, SOLDÁVEL, DN 25MM, INSTALADO EM RAMAL OU SUB-RAMAL DE ÁGUA - FORNECIMENTO E INSTALAÇÃO. AF_12/2014</t>
  </si>
  <si>
    <t>JOELHO 90 GRAUS COM BUCHA DE LATÃO, PVC, SOLDÁVEL, DN 25MM, X 1/2  INSTALADO EM RAMAL OU SUB-RAMAL DE ÁGUA - FORNECIMENTO E INSTALAÇÃO. AF_06/2022</t>
  </si>
  <si>
    <t>JOELHO 90 GRAUS COM BUCHA DE LATÃO, PVC, SOLDÁVEL, DN  25 MM, X 3/4 INSTALADO EM RESERVAÇÃO DE ÁGUA DE EDIFICAÇÃO QUE POSSUA RESERVATÓRIO DE FIBRA/FIBROCIMENTO   FORNECIMENTO E INSTALAÇÃO. AF_06/2016</t>
  </si>
  <si>
    <t xml:space="preserve"> 103955 </t>
  </si>
  <si>
    <t>JOELHO DE REDUÇÃO, 90 GRAUS, PVC, SOLDÁVEL, DN 25 MM X 20 MM, INSTALADO EM RAMAL DE DISTRIBUIÇÃO DE ÁGUA - FORNECIMENTO E INSTALAÇÃO. AF_06/2022</t>
  </si>
  <si>
    <t xml:space="preserve"> 89551 </t>
  </si>
  <si>
    <t>LUVA SOLDÁVEL E COM ROSCA, PVC, SOLDÁVEL, DN 32MM X 1 , INSTALADO EM PRUMADA DE ÁGUA - FORNECIMENTO E INSTALAÇÃO. AF_06/2022</t>
  </si>
  <si>
    <t xml:space="preserve"> 89528 </t>
  </si>
  <si>
    <t>LUVA, PVC, SOLDÁVEL, DN 25MM, INSTALADO EM PRUMADA DE ÁGUA - FORNECIMENTO E INSTALAÇÃO. AF_06/2022</t>
  </si>
  <si>
    <t>LUVA, PVC, SOLDÁVEL, DN 50MM, INSTALADO EM PRUMADA DE ÁGUA - FORNECIMENTO E INSTALAÇÃO. AF_06/2022</t>
  </si>
  <si>
    <t>LUVA COM BUCHA DE LATÃO, PVC, SOLDÁVEL, DN 25MM X 3/4 , INSTALADO EM RAMAL DE DISTRIBUIÇÃO DE ÁGUA - FORNECIMENTO E INSTALAÇÃO. AF_06/2022</t>
  </si>
  <si>
    <t>LUVA, PVC, SOLDÁVEL, DN 20MM, INSTALADO EM RAMAL OU SUB-RAMAL DE ÁGUA - FORNECIMENTO E INSTALAÇÃO. AF_12/2014</t>
  </si>
  <si>
    <t>LUVA DE REDUÇÃO, PVC, SOLDÁVEL, DN 25MM X 20MM, INSTALADO EM RAMAL OU SUB-RAMAL DE ÁGUA - FORNECIMENTO E INSTALAÇÃO. AF_12/2014</t>
  </si>
  <si>
    <t>LUVA COM BUCHA DE LATÃO, PVC, SOLDÁVEL, DN 20MM X 1/2, INSTALADO EM RAMAL OU SUB-RAMAL DE ÁGUA - FORNECIMENTO E INSTALAÇÃO. AF_12/2014</t>
  </si>
  <si>
    <t>LUVA DE CORRER, PVC, SOLDÁVEL, DN 25MM, INSTALADO EM RAMAL OU SUB-RAMAL DE ÁGUA - FORNECIMENTO E INSTALAÇÃO. AF_12/2014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</si>
  <si>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</si>
  <si>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</si>
  <si>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</si>
  <si>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</si>
  <si>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103966 </t>
  </si>
  <si>
    <t>BUCHA DE REDUÇÃO, LONGA, PVC, SOLDÁVEL, DN 50 X 25 MM, INSTALADO EM PRUMADA DE ÁGUA - FORNECIMENTO E INSTALAÇÃO. AF_06/2022</t>
  </si>
  <si>
    <t>ADAPTADOR COM FLANGES LIVRES, PVC, SOLDÁVEL LONGO, DN 32 MM X 1 , INSTALADO EM RESERVAÇÃO DE ÁGUA DE EDIFICAÇÃO QUE POSSUA RESERVATÓRIO DE FIBRA/FIBROCIMENTO   FORNECIMENTO E INSTALAÇÃO. AF_06/2016</t>
  </si>
  <si>
    <t xml:space="preserve"> 89617 </t>
  </si>
  <si>
    <t>TE, PVC, SOLDÁVEL, DN 25MM, INSTALADO EM PRUMADA DE ÁGUA - FORNECIMENTO E INSTALAÇÃO. AF_06/2022</t>
  </si>
  <si>
    <t xml:space="preserve"> 89627 </t>
  </si>
  <si>
    <t>TÊ DE REDUÇÃO, PVC, SOLDÁVEL, DN 50MM X 25MM, INSTALADO EM PRUMADA DE ÁGUA - FORNECIMENTO E INSTALAÇÃO. AF_06/2022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</si>
  <si>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</si>
  <si>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</si>
  <si>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94689 </t>
  </si>
  <si>
    <t>TÊ COM BUCHA DE LATÃO NA BOLSA CENTRAL, PVC, SOLDÁVEL, DN  25 MM X 3/4 , INSTALADO EM RESERVAÇÃO DE ÁGUA DE EDIFICAÇÃO QUE POSSUA RESERVATÓRIO DE FIBRA/FIBROCIMENTO   FORNECIMENTO E INSTALAÇÃO. AF_06/2016</t>
  </si>
  <si>
    <t xml:space="preserve"> 94785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</si>
  <si>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</si>
  <si>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104004 </t>
  </si>
  <si>
    <t>TE, PVC, SOLDÁVEL, DN 50MM, INSTALADO EM RAMAL DE DISTRIBUIÇÃO DE ÁGUA - FORNECIMENTO E INSTALAÇÃO. AF_06/2022</t>
  </si>
  <si>
    <t xml:space="preserve"> 89628 </t>
  </si>
  <si>
    <t>TE, PVC, SOLDÁVEL, DN 60MM, INSTALADO EM PRUMADA DE ÁGUA - FORNECIMENTO E INSTALAÇÃO. AF_06/2022</t>
  </si>
  <si>
    <t xml:space="preserve"> 103971 </t>
  </si>
  <si>
    <t>BUCHA DE REDUÇÃO, LONGA, PVC, SOLDÁVEL, DN 60 X 50 MM, INSTALADO EM PRUMADA DE ÁGUA - FORNECIMENTO E INSTALAÇÃO. AF_06/2022</t>
  </si>
  <si>
    <t xml:space="preserve">TORNEIRA BOIA DIAMETRO DE 25 MM </t>
  </si>
  <si>
    <t xml:space="preserve">TORNEIRA BOIA DIAMETRO DE 32 MM </t>
  </si>
  <si>
    <t>INSTALAÇÕES DE ÁGUAS PLUVIAIS</t>
  </si>
  <si>
    <t>CAIXA ENTERRADA HIDRÁULICA RETANGULAR EM ALVENARIA COM TIJOLOS CERÂMICOS MACIÇOS, DIMENSÕES INTERNAS: 0,3X0,3X0,3 M PARA REDE DE DRENAGEM. AF_12/2020</t>
  </si>
  <si>
    <t>GRELHA DE FERRO FUNDIDO SIMPLES COM REQUADRO, 300 X 1000 MM, ASSENTADA COM ARGAMASSA 1 : 3 CIMENTO: AREIA - FORNECIMENTO E INSTALAÇÃO. AF_08/2021</t>
  </si>
  <si>
    <t>TUBO PVC, SÉRIE R, ÁGUA PLUVIAL, DN 150 MM, FORNECIDO E INSTALADO EM RAMAL DE ENCAMINHAMENTO. AF_12/2014</t>
  </si>
  <si>
    <t>JOELHO 90 GRAUS, PVC, SERIE R, ÁGUA PLUVIAL, DN 150 MM, JUNTA ELÁSTICA, FORNECIDO E INSTALADO EM RAMAL DE ENCAMINHAMENTO. AF_06/2022</t>
  </si>
  <si>
    <t>JOELHO 45 GRAUS, PVC, SERIE R, ÁGUA PLUVIAL, DN 150 MM, JUNTA ELÁSTICA, FORNECIDO E INSTALADO EM RAMAL DE ENCAMINHAMENTO. AF_06/2022</t>
  </si>
  <si>
    <t>LUVA SIMPLES PVC SERIE R, AGUA PLUVIAL DN 150 MM, JUNTA ELASTICA, FORNECIDO E INSTALADO EM RAMAL DE ENCAMINHAMENTO AF 06/2022</t>
  </si>
  <si>
    <t>REDUÇÃO EXCÊNTRICA, PVC, SERIE R, ÁGUA PLUVIAL, DN 150 X 100 MM, JUNTA ELÁSTICA, FORNECIDO E INSTALADO EM RAMAL DE ENCAMINHAMENTO. AF_06/2022</t>
  </si>
  <si>
    <t>TÊ DE INSPEÇÃO, SERIE R, ÁGUA PLUVIAL, DN 150 MM, JUNTA ELÁSTICA, FORNECIDO E INSTALADO EM RAMAL DE ENCAMINHAMENTO. AF_06/2022</t>
  </si>
  <si>
    <t>JUNÇÃO SIMPLES, PVC, SERIE R, AGUA PLUVIAL, DN 150 X 100 MM, JUNTA ELÁSTICA, FORNECIDO E INSTALADO EM RAMAL DE ENCAMINHAMENTO. AF_06/2022</t>
  </si>
  <si>
    <t>TUBO PVC, SÉRIE R, ÁGUA PLUVIAL, DN 100 MM, FORNECIDO E INSTALADO EM RAMAL DE ENCAMINHAMENTO. AF_12/2014</t>
  </si>
  <si>
    <t>JOELHO 90 GRAUS, PVC, SERIE R, ÁGUA PLUVIAL, DN 100 MM, JUNTA ELÁSTICA, FORNECIDO E INSTALADO EM RAMAL DE ENCAMINHAMENTO. AF_06/2022</t>
  </si>
  <si>
    <t>JOELHO 45 GRAUS, PVC, SERIE R, ÁGUA PLUVIAL, DN 100 MM, JUNTA ELÁSTICA, FORNECIDO E INSTALADO EM RAMAL DE ENCAMINHAMENTO. AF_06/2022</t>
  </si>
  <si>
    <t>LUVA SIMPLES PVC SERIE R, AGUA PLUVIAL DN 100 MM, JUNTA ELASTICA, FORNECIDO E INSTALADO EM RAMAL DE ENCAMINHAMENTO AF 06/2022</t>
  </si>
  <si>
    <t>REDUÇÃO EXCÊNTRICA, PVC, SERIE R, ÁGUA PLUVIAL, DN 100 X 75 MM, JUNTA ELÁSTICA, FORNECIDO E INSTALADO EM RAMAL DE ENCAMINHAMENTO. AF_06/2022</t>
  </si>
  <si>
    <t xml:space="preserve"> 89797 </t>
  </si>
  <si>
    <t>JUNÇÃO SIMPLES, PVC, SERIE NORMAL, ESGOTO PREDIAL, DN 100 X 100 MM, JUNTA ELÁSTICA, FORNECIDO E INSTALADO EM RAMAL DE DESCARGA OU RAMAL DE ESGOTO SANITÁRIO. AF_08/2022</t>
  </si>
  <si>
    <t>JUNÇÃO SIMPLES, PVC, SERIE R, AGUA PLUVIAL, DN 100 X 75 MM, JUNTA ELÁSTICA, FORNECIDO E INSTALADO EM RAMAL DE ENCAMINHAMENTO. AF_06/2022</t>
  </si>
  <si>
    <t>CAP, PVC SERE R, ÁGUA PUVIAL, DN 100 MM , JUNTA ELASTICA, FORNECIMENTO E INSTALADO</t>
  </si>
  <si>
    <t>COMPOSIÇÃO REPRESENTATIVA DO SERVIÇO DE INSTAÇÃO DE TUBOS DE PCV SERIE R, AGUA PLUVIAL DN 75 MM INSTALADO EM RAMAL DE ENCAMINHAMENTO OU CONDUTORES VERTTICAIS INCLUSIVE CONEXÕES, CORTES E FIXAÇÕES.</t>
  </si>
  <si>
    <t xml:space="preserve"> 89744 </t>
  </si>
  <si>
    <t>JOELHO 90 GRAUS, PVC, SERIE NORMAL, ESGOTO PREDIAL, DN 100 MM, JUNTA ELÁSTICA, FORNECIDO E INSTALADO EM RAMAL DE DESCARGA OU RAMAL DE ESGOTO SANITÁRIO. AF_08/2022</t>
  </si>
  <si>
    <t xml:space="preserve"> 89796 </t>
  </si>
  <si>
    <t>TE, PVC, SERIE NORMAL, ESGOTO PREDIAL, DN 100 X 100 MM, JUNTA ELÁSTICA, FORNECIDO E INSTALADO EM RAMAL DE DESCARGA OU RAMAL DE ESGOTO SANITÁRIO. AF_08/2022</t>
  </si>
  <si>
    <t>INSTALAÇÕES DE ESGOTO / VENTILAÇÃO / DRENAGEM</t>
  </si>
  <si>
    <t>ESCAVAÇÃO MANUAL DE VALA COM PROFUNDIDADE MENOR OU IGUAL A 1,30 M. AF_02/2021</t>
  </si>
  <si>
    <t>M³</t>
  </si>
  <si>
    <t>REATERRO MANUAL APILOADO COM SOQUETE. AF_10/2017</t>
  </si>
  <si>
    <t xml:space="preserve"> 89865 </t>
  </si>
  <si>
    <t>TUBO, PVC, SOLDÁVEL, DN 25MM, INSTALADO EM DRENO DE AR-CONDICIONADO - FORNECIMENTO E INSTALAÇÃO. AF_08/2022</t>
  </si>
  <si>
    <t xml:space="preserve"> 89866 </t>
  </si>
  <si>
    <t>JOELHO 90 GRAUS, PVC, SOLDÁVEL, DN 25MM, INSTALADO EM DRENO DE AR-CONDICIONADO - FORNECIMENTO E INSTALAÇÃO. AF_08/2022</t>
  </si>
  <si>
    <t xml:space="preserve"> 89867 </t>
  </si>
  <si>
    <t>JOELHO 45 GRAUS, PVC, SOLDÁVEL, DN 25MM, INSTALADO EM DRENO DE AR-CONDICIONADO - FORNECIMENTO E INSTALAÇÃO. AF_08/2022</t>
  </si>
  <si>
    <t>TE, PVC, SOLDÁVEL, DN 25MM, INSTALADO EM DRENO DE AR-CONDICIONADO - FORNECIMENTO E INSTALAÇÃO. AF_08/2022</t>
  </si>
  <si>
    <t xml:space="preserve"> 89798 </t>
  </si>
  <si>
    <t>TUBO PVC, SERIE NORMAL, ESGOTO PREDIAL, DN 50 MM, FORNECIDO E INSTALADO EM PRUMADA DE ESGOTO SANITÁRIO OU VENTILAÇÃO. AF_08/2022</t>
  </si>
  <si>
    <t>JOELHO 90 GRAUS, PVC, SERIE NORMAL, ESGOTO PREDIAL, DN 50 MM, JUNTA ELÁSTICA, FORNECIDO E INSTALADO EM PRUMADA DE ESGOTO SANITÁRIO OU VENTILAÇÃO. AF_08/2022</t>
  </si>
  <si>
    <t xml:space="preserve"> 89802 </t>
  </si>
  <si>
    <t>JOELHO 45 GRAUS, PVC, SERIE NORMAL, ESGOTO PREDIAL, DN 50 MM, JUNTA ELÁSTICA, FORNECIDO E INSTALADO EM PRUMADA DE ESGOTO SANITÁRIO OU VENTILAÇÃO. AF_08/2022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</si>
  <si>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</si>
  <si>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</si>
  <si>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LUVA PVC SOLDAVEL DN 50 MM </t>
  </si>
  <si>
    <t>JUNÇÃO SIMPLES, PVC, SERIE NORMAL, ESGOTO PREDIAL, DN 50 X 50 MM, JUNTA ELÁSTICA, FORNECIDO E INSTALADO EM RAMAL DE DESCARGA OU RAMAL DE ESGOTO SANITÁRIO. AF_08/2022</t>
  </si>
  <si>
    <t xml:space="preserve"> 89711 </t>
  </si>
  <si>
    <t>TUBO PVC, SERIE NORMAL, ESGOTO PREDIAL, DN 40 MM,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</si>
  <si>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</si>
  <si>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 xml:space="preserve"> 89783 </t>
  </si>
  <si>
    <t>JUNÇÃO SIMPLES, PVC, SERIE NORMAL, ESGOTO PREDIAL, DN 40 MM, JUNTA SOLDÁVEL, FORNECIDO E INSTALADO EM RAMAL DE DESCARGA OU RAMAL DE ESGOTO SANITÁRIO. AF_08/2022</t>
  </si>
  <si>
    <t xml:space="preserve"> 104014 </t>
  </si>
  <si>
    <t>BUCHA DE REDUÇÃO, LONGA, PVC, SOLDÁVEL, DN 40 X 25 MM, INSTALADO EM RAMAL DE DISTRIBUIÇÃO DE ÁGUA - FORNECIMENTO E INSTALAÇÃO. AF_06/2022</t>
  </si>
  <si>
    <t xml:space="preserve"> 89800 </t>
  </si>
  <si>
    <t>TUBO PVC, SERIE NORMAL, ESGOTO PREDIAL, DN 100 MM, FORNECIDO E INSTALADO EM PRUMADA DE ESGOTO SANITÁRIO OU VENTILAÇÃO. AF_08/2022</t>
  </si>
  <si>
    <t xml:space="preserve"> 89746 </t>
  </si>
  <si>
    <t>JOELHO 45 GRAUS, PVC, SERIE NORMAL, ESGOTO PREDIAL, DN 100 MM, JUNTA ELÁSTICA, FORNECIDO E INSTALADO EM RAMAL DE DESCARGA OU RAMAL DE ESGOTO SANITÁRIO. AF_08/2022</t>
  </si>
  <si>
    <t>JOELHO 90 GRAUS, PVC, SERIE NORMAL, ESGOTO PREDIAL, DN 100 MM, JUNTA ELÁSTICA, FORNECIDO E INSTALADO EM PRUMADA DE ESGOTO SANITÁRIO OU VENTILAÇÃO. AF_08/2022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</si>
  <si>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</si>
  <si>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</si>
  <si>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89574 </t>
  </si>
  <si>
    <t>JUNÇÃO DUPLA, PVC, SERIE R, ÁGUA PLUVIAL, DN 100 X 100 X 100 MM, JUNTA ELÁSTICA, FORNECIDO E INSTALADO EM RAMAL DE ENCAMINHAMENTO. AF_06/2022</t>
  </si>
  <si>
    <t xml:space="preserve"> 104344 </t>
  </si>
  <si>
    <t>TE, PVC, SÉRIE NORMAL, ESGOTO PREDIAL, DN 100 X 50 MM, JUNTA ELÁSTICA, FORNECIDO E INSTALADO EM RAMAL DE DESCARGA OU RAMAL DE ESGOTO SANITÁRIO. AF_08/2022</t>
  </si>
  <si>
    <t>TUBO PVC, SERIE NORMAL, ESGOTO PREDIAL, DN 75 MM, FORNECIDO E INSTALADO EM PRUMADA DE ESGOTO SANITÁRIO OU VENTILAÇÃO. AF_08/2022</t>
  </si>
  <si>
    <t xml:space="preserve"> 89806 </t>
  </si>
  <si>
    <t>JOELHO 45 GRAUS, PVC, SERIE NORMAL, ESGOTO PREDIAL, DN 75 MM, JUNTA ELÁSTICA, FORNECIDO E INSTALADO EM PRUMADA DE ESGOTO SANITÁRIO OU VENTILAÇÃO. AF_08/2022</t>
  </si>
  <si>
    <t>JOELHO 90 GRAUS, PVC, SERIE NORMAL, ESGOTO PREDIAL, DN 75 MM, JUNTA ELÁSTICA, FORNECIDO E INSTALADO EM PRUMADA DE ESGOTO SANITÁRIO OU VENTILAÇÃO. AF_08/2022</t>
  </si>
  <si>
    <t>JUNÇÃO SIMPLES, PVC, SERIE NORMAL, ESGOTO PREDIAL, DN 75 X 75 MM, JUNTA ELÁSTICA, FORNECIDO E INSTALADO EM RAMAL DE DESCARGA OU RAMAL DE ESGOTO SANITÁRIO. AF_08/2022</t>
  </si>
  <si>
    <t xml:space="preserve"> 89549 </t>
  </si>
  <si>
    <t>REDUÇÃO EXCÊNTRICA, PVC, SERIE R, ÁGUA PLUVIAL, DN 75 X 50 MM, JUNTA ELÁSTICA, FORNECIDO E INSTALADO EM RAMAL DE ENCAMINHAMENTO. AF_06/2022</t>
  </si>
  <si>
    <t>CAIXA SIFONADA, COM GRELHA REDONDA, PVC, DN 150 X 150 X 50 MM, JUNTA SOLDÁVEL, FORNECIDA E INSTALADA EM RAMAL DE DESCARGA OU EM RAMAL DE ESGOTO SANITÁRIO. AF_08/2022</t>
  </si>
  <si>
    <t>CAIXA SIFONADA, COM GRELHA REDONDA, PVC, DN 100 X 100 X 50 MM, JUNTA SOLDÁVEL, FORNECIDA E INSTALADA EM RAMAL DE DESCARGA OU EM RAMAL DE ESGOTO SANITÁRIO. AF_08/2022</t>
  </si>
  <si>
    <t>INSTALAÇÕES DE SPDA</t>
  </si>
  <si>
    <t xml:space="preserve"> 96985 </t>
  </si>
  <si>
    <t>HASTE DE ATERRAMENTO 5/8  PARA SPDA - FORNECIMENTO E INSTALAÇÃO. AF_12/2017</t>
  </si>
  <si>
    <t xml:space="preserve"> 96989 </t>
  </si>
  <si>
    <t>CAPTOR TIPO FRANKLIN PARA SPDA - FORNECIMENTO E INSTALAÇÃO. AF_12/2017</t>
  </si>
  <si>
    <t xml:space="preserve"> 96988 </t>
  </si>
  <si>
    <t>MASTRO 1 ½  PARA SPDA - FORNECIMENTO E INSTALAÇÃO. AF_12/2017</t>
  </si>
  <si>
    <t xml:space="preserve"> 96973 </t>
  </si>
  <si>
    <t>CORDOALHA DE COBRE NU 35 MM², NÃO ENTERRADA, COM ISOLADOR - FORNECIMENTO E INSTALAÇÃO. AF_12/2017</t>
  </si>
  <si>
    <t>ELETRODUTO RÍGIDO ROSCÁVEL, PVC, DN 25 MM (3/4"), PARA CIRCUITOS TERMINAIS, INSTALADO EM PAREDE - FORNECIMENTO E INSTALAÇÃO. AF_12/2015</t>
  </si>
  <si>
    <t>ORSE</t>
  </si>
  <si>
    <t>Conector de pressão para cabo nu de 35mm²</t>
  </si>
  <si>
    <t>Conector em liga de cobre e aço inoxidável para aterramento de haste 5/8"</t>
  </si>
  <si>
    <t>INSTALAÇÕES ELÉTRICAS</t>
  </si>
  <si>
    <t xml:space="preserve"> 91940 </t>
  </si>
  <si>
    <t>CAIXA RETANGULAR 4" X 2" MÉDIA (1,30 M DO PISO), PVC, INSTALADA EM PAREDE - FORNECIMENTO E INSTALAÇÃO. AF_12/2015</t>
  </si>
  <si>
    <t xml:space="preserve"> 92871 </t>
  </si>
  <si>
    <t>CAIXA RETANGULAR 4" X 4" MÉDIA (1,30 M DO PISO), METÁLICA, INSTALADA EM PAREDE - FORNECIMENTO E INSTALAÇÃO. AF_12/2015</t>
  </si>
  <si>
    <t xml:space="preserve">MANGUEIRA CORRUGADA DE 1/2 </t>
  </si>
  <si>
    <t xml:space="preserve"> 93667 </t>
  </si>
  <si>
    <t>DISJUNTOR TRIPOLAR TIPO DIN, CORRENTE NOMINAL DE 10A - FORNECIMENTO E INSTALAÇÃO. AF_10/2020</t>
  </si>
  <si>
    <t>DISJUNTOR TRIPOLAR TIPO DIN, CORRENTE NOMINAL DE 16A - FORNECIMENTO E INSTALAÇÃO. AF_10/2020</t>
  </si>
  <si>
    <t xml:space="preserve"> 93671 </t>
  </si>
  <si>
    <t>DISJUNTOR TRIPOLAR TIPO DIN, CORRENTE NOMINAL DE 32A - FORNECIMENTO E INSTALAÇÃO. AF_10/2020</t>
  </si>
  <si>
    <t xml:space="preserve"> 93669 </t>
  </si>
  <si>
    <t>DISJUNTOR TRIPOLAR TIPO DIN, CORRENTE NOMINAL DE 20A - FORNECIMENTO E INSTALAÇÃO. AF_10/2020</t>
  </si>
  <si>
    <t xml:space="preserve"> 93672 </t>
  </si>
  <si>
    <t>DISJUNTOR TRIPOLAR TIPO DIN, CORRENTE NOMINAL DE 40A - FORNECIMENTO E INSTALAÇÃO. AF_10/2020</t>
  </si>
  <si>
    <t xml:space="preserve"> 93673 </t>
  </si>
  <si>
    <t>DISJUNTOR TRIPOLAR TIPO DIN, CORRENTE NOMINAL DE 50A - FORNECIMENTO E INSTALAÇÃO. AF_10/2020</t>
  </si>
  <si>
    <t>DISJUNTOR TRIPOLAR TIPO NEMA, CORRENTE NOMINAL DE 60 ATÉ 100A - FORNECIMENTO E INSTALAÇÃO. AF_10/2020</t>
  </si>
  <si>
    <t xml:space="preserve"> 93653 </t>
  </si>
  <si>
    <t>DISJUNTOR MONOPOLAR TIPO DIN, CORRENTE NOMINAL DE 10A - FORNECIMENTO E INSTALAÇÃO. AF_10/2020</t>
  </si>
  <si>
    <t xml:space="preserve"> 93654 </t>
  </si>
  <si>
    <t>DISJUNTOR MONOPOLAR TIPO DIN, CORRENTE NOMINAL DE 16A - FORNECIMENTO E INSTALAÇÃO. AF_10/2020</t>
  </si>
  <si>
    <t xml:space="preserve"> 93655 </t>
  </si>
  <si>
    <t>DISJUNTOR MONOPOLAR TIPO DIN, CORRENTE NOMINAL DE 20A - FORNECIMENTO E INSTALAÇÃO. AF_10/2020</t>
  </si>
  <si>
    <t xml:space="preserve"> 93656 </t>
  </si>
  <si>
    <t>DISJUNTOR MONOPOLAR TIPO DIN, CORRENTE NOMINAL DE 25A - FORNECIMENTO E INSTALAÇÃO. AF_10/2020</t>
  </si>
  <si>
    <t>DISJUNTOR MONOPOLAR TIPO DIN, CORRENTE NOMINAL DE 32A - FORNECIMENTO E INSTALAÇÃO. AF_10/2020</t>
  </si>
  <si>
    <t xml:space="preserve"> 93658 </t>
  </si>
  <si>
    <t>DISJUNTOR MONOPOLAR TIPO DIN, CORRENTE NOMINAL DE 40A - FORNECIMENTO E INSTALAÇÃO. AF_10/2020</t>
  </si>
  <si>
    <t xml:space="preserve"> 071457 </t>
  </si>
  <si>
    <t>INTERRUPTOR DIFERENCIAL RESIDUAL (D.R.) TETRAPOLAR DE 63A-30mA</t>
  </si>
  <si>
    <t>Un</t>
  </si>
  <si>
    <t xml:space="preserve"> 071456 </t>
  </si>
  <si>
    <t>INTERRUPTOR DIFERENCIAL RESIDUAL (D.R.) TETRAPOLAR DE 40A-30mA</t>
  </si>
  <si>
    <t xml:space="preserve"> 92026 </t>
  </si>
  <si>
    <t>INTERRUPTOR SIMPLES (2 MÓDULOS) COM 1 TOMADA DE EMBUTIR 2P+T 10 A,  SEM SUPORTE E SEM PLACA - FORNECIMENTO E INSTALAÇÃO. AF_12/2015</t>
  </si>
  <si>
    <t xml:space="preserve"> 92004 </t>
  </si>
  <si>
    <t>TOMADA MÉDIA DE EMBUTIR (2 MÓDULOS), 2P+T 10 A, INCLUINDO SUPORTE E PLACA - FORNECIMENTO E INSTALAÇÃO. AF_12/2015</t>
  </si>
  <si>
    <t xml:space="preserve"> 91955 </t>
  </si>
  <si>
    <t>INTERRUPTOR PARALELO (1 MÓDULO), 10A/250V, INCLUINDO SUPORTE E PLACA - FORNECIMENTO E INSTALAÇÃO. AF_12/2015</t>
  </si>
  <si>
    <t xml:space="preserve"> 92005 </t>
  </si>
  <si>
    <t>TOMADA MÉDIA DE EMBUTIR (2 MÓDULOS), 2P+T 20 A, INCLUINDO SUPORTE E PLACA - FORNECIMENTO E INSTALAÇÃO. AF_12/2015</t>
  </si>
  <si>
    <t>072425</t>
  </si>
  <si>
    <t xml:space="preserve">TAMPA CEGA PLACA 4 X 2 </t>
  </si>
  <si>
    <t>072400</t>
  </si>
  <si>
    <t>TAMPA CEGA PLACA 4 X 4</t>
  </si>
  <si>
    <t xml:space="preserve"> 91957 </t>
  </si>
  <si>
    <t>INTERRUPTOR SIMPLES (1 MÓDULO) COM INTERRUPTOR PARALELO (1 MÓDULO), 10A/250V, INCLUINDO SUPORTE E PLACA - FORNECIMENTO E INSTALAÇÃO. AF_12/2015</t>
  </si>
  <si>
    <t xml:space="preserve"> 91967 </t>
  </si>
  <si>
    <t>INTERRUPTOR SIMPLES (3 MÓDULOS), 10A/250V, INCLUINDO SUPORTE E PLACA - FORNECIMENTO E INSTALAÇÃO. AF_12/2015</t>
  </si>
  <si>
    <t>INTERRUPTOR SIMPLES (1 MÓDULO), 10A/250V, INCLUINDO SUPORTE E PLACA - FORNECIMENTO E INSTALAÇÃO. AF_12/2015</t>
  </si>
  <si>
    <t>INTERRUPTOR SIMPLES (2 MÓDULOS), 10A/250V, INCLUINDO SUPORTE E PLACA - FORNECIMENTO E INSTALAÇÃO. AF_12/2015</t>
  </si>
  <si>
    <t xml:space="preserve"> 072578 </t>
  </si>
  <si>
    <t>TOMADA HEXAGONAL 2P + T - 10A - 250V</t>
  </si>
  <si>
    <t xml:space="preserve"> 91958 </t>
  </si>
  <si>
    <t>INTERRUPTOR SIMPLES (2 MÓDULOS), 10A/250V, SEM SUPORTE E SEM PLACA - FORNECIMENTO E INSTALAÇÃO. AF_12/2015</t>
  </si>
  <si>
    <t>INTERRUPTOR SIMPLES (1 MÓDULO) COM 1 TOMADA DE EMBUTIR 2P+T 10 A,  INCLUINDO SUPORTE E PLACA - FORNECIMENTO E INSTALAÇÃO. AF_12/2015</t>
  </si>
  <si>
    <t xml:space="preserve"> 92981 </t>
  </si>
  <si>
    <t>CABO DE COBRE FLEXÍVEL ISOLADO, 16 MM², ANTI-CHAMA 450/750 V, PARA DISTRIBUIÇÃO - FORNECIMENTO E INSTALAÇÃO. AF_12/2015</t>
  </si>
  <si>
    <t>CABO DE COBRE FLEXÍVEL ISOLADO, 1,5 MM², ANTI-CHAMA 450/750 V, PARA CIRCUITOS TERMINAIS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</si>
  <si>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</si>
  <si>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</si>
  <si>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91928 </t>
  </si>
  <si>
    <t>CABO DE COBRE FLEXÍVEL ISOLADO, 4 MM², ANTI-CHAMA 450/750 V, PARA CIRCUITOS TERMINAIS - FORNECIMENTO E INSTALAÇÃO. AF_12/2015</t>
  </si>
  <si>
    <t xml:space="preserve"> 91930 </t>
  </si>
  <si>
    <t>CABO DE COBRE FLEXÍVEL ISOLADO, 6 MM², ANTI-CHAMA 450/750 V, PARA CIRCUITOS TERMINAIS - FORNECIMENTO E INSTALAÇÃO. AF_12/2015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</si>
  <si>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</si>
  <si>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</si>
  <si>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>INSTALAÇÕES LOGICA / TELEFONE</t>
  </si>
  <si>
    <t>TOMADA DE REDE RJ45 - FORNECIMENTO E INSTALAÇÃO. AF_11/2019</t>
  </si>
  <si>
    <t>TOMADA PARA TELEFONE RJ11 - FORNECIMENTO E INSTALAÇÃO. AF_11/2019</t>
  </si>
  <si>
    <t>CABO ELETRÔNICO CATEGORIA 6, INSTALADO EM EDIFICAÇÃO INSTITUCIONAL - FORNECIMENTO E INSTALAÇÃO. AF_11/2019</t>
  </si>
  <si>
    <t>OUTROS</t>
  </si>
  <si>
    <t xml:space="preserve"> 160392 </t>
  </si>
  <si>
    <t>TRATAMENTO DE TRINCAS/FISSURAS SUPERFICIE CONCRETO EM FACHADAS</t>
  </si>
  <si>
    <t>m²</t>
  </si>
  <si>
    <t>HIDROJATEAMENTO ( LIMPEZA PREVENTIVA DE REDE DE ESGOTO)</t>
  </si>
  <si>
    <t>HIDROJATEAMENTO ( DESENTUPIMENTO REDE DE ESGOTO)</t>
  </si>
  <si>
    <t>MASSA ÚNICA, PARA RECEBIMENTO DE PINTURA, EM ARGAMASSA TRAÇO 1:2:8, PREPARO MANUAL, APLICADA MANUALMENTE EM FACES INTERNAS DE PAREDES, ESPESSURA DE 20MM, COM EXECUÇÃO DE TALISCAS. AF_06/2014</t>
  </si>
  <si>
    <t>LIMPEZA DE CALHA DE ZINCO</t>
  </si>
  <si>
    <t>CONCRETO FCK = 25MPA, TRAÇO 1:2,3:2,7 (EM MASSA SECA DE CIMENTO/ AREIA MÉDIA/ BRITA 1) - PREPARO MECÂNICO COM BETONEIRA 400 L. AF_05/2021</t>
  </si>
  <si>
    <t>m³</t>
  </si>
  <si>
    <t xml:space="preserve"> 90444 </t>
  </si>
  <si>
    <t>RASGO EM CONTRAPISO PARA RAMAIS/ DISTRIBUIÇÃO COM DIÂMETROS MENORES OU IGUAIS A 40 MM. AF_05/2015</t>
  </si>
  <si>
    <t xml:space="preserve">GOINFRA </t>
  </si>
  <si>
    <t>TRANSPORTE DE ENTULHO EM CAÇAMBA ESTACIONÁRIA INCLUSO A CARGA MANUAL</t>
  </si>
  <si>
    <t>LUMINÁRIAS</t>
  </si>
  <si>
    <t>LUMINÁRIAS TIPO CALHA, DE SOBREPOR, COM REATORES DE PARTIDA RÁPIDA E LÂMPADAS FLUORESCENTES 2X2X36W, COMPLETAS, FORNECIMENTO E INSTALAÇÃO</t>
  </si>
  <si>
    <t>UND</t>
  </si>
  <si>
    <t xml:space="preserve">LUMINÁRIA TIPO SPOT </t>
  </si>
  <si>
    <t>LUMINÁRIA TIPO PLAFON, DE SOBREPOR, COM 1 LÂMPADA LED - FORNECIMENTO E INSTALAÇÃO. AF_11/2017</t>
  </si>
  <si>
    <t>LÂMPADA COMPACTA DE LED 10 W, BASE E27 - FORNECIMENTO E INSTALAÇÃO. AF_11/2017</t>
  </si>
  <si>
    <t>LÂMPADA TUBULAR FLUORESCENTE T10 DE 20/40 W, BASE G13 - FORNECIMENTO E INSTALAÇÃO. AF_11/2017_P</t>
  </si>
  <si>
    <t>ADMINISTRAÇÃO DA OBRA</t>
  </si>
  <si>
    <t xml:space="preserve"> IN41 </t>
  </si>
  <si>
    <t>Próprio</t>
  </si>
  <si>
    <t>ENGENHEIRO CIVIL DE OBRA - BASE CREA/GO</t>
  </si>
  <si>
    <t>MÊS</t>
  </si>
  <si>
    <t>TOTAL SEM BDI</t>
  </si>
  <si>
    <t>BDI 24%</t>
  </si>
  <si>
    <t>TOTAL COM BDI</t>
  </si>
  <si>
    <t>__________________________________________</t>
  </si>
  <si>
    <t>ROGÉRIO MATHEUS BARBOSA</t>
  </si>
  <si>
    <t>Assessor Técnico de Obras</t>
  </si>
  <si>
    <t>Portaria 6.087 de 08/09/2021</t>
  </si>
  <si>
    <t xml:space="preserve"> </t>
  </si>
  <si>
    <t>Piso em marmore arabesco</t>
  </si>
  <si>
    <t>Rodapé 10 cm em Marmore Arabesco</t>
  </si>
  <si>
    <t xml:space="preserve">Emassamento/Selador e Pintura Lisa Parede </t>
  </si>
  <si>
    <t>Emassamento/Selador e Pintura Lisa teto</t>
  </si>
  <si>
    <t>2° Pvto</t>
  </si>
  <si>
    <t>Processo ètico</t>
  </si>
  <si>
    <t>m</t>
  </si>
  <si>
    <t>Hall do Elevador 2° Pvto</t>
  </si>
  <si>
    <t>Fiscalização</t>
  </si>
  <si>
    <t>Hall da Escada</t>
  </si>
  <si>
    <t>1° Pvto</t>
  </si>
  <si>
    <t>Hall do Elevador 1° Pvto</t>
  </si>
  <si>
    <t>Hall Plenário</t>
  </si>
  <si>
    <t>Telefonia/almoxarifado</t>
  </si>
  <si>
    <t>Comunicação</t>
  </si>
  <si>
    <t xml:space="preserve">Assessoria Esp. Presidência </t>
  </si>
  <si>
    <t>Plenária</t>
  </si>
  <si>
    <t>Administraçao</t>
  </si>
  <si>
    <t>Financeiro</t>
  </si>
  <si>
    <t>Planejamento</t>
  </si>
  <si>
    <t>Sala da Presidência</t>
  </si>
  <si>
    <t xml:space="preserve">Chefia de Gabinete </t>
  </si>
  <si>
    <t xml:space="preserve">Procuradoria </t>
  </si>
  <si>
    <t>Negociação</t>
  </si>
  <si>
    <t>Térreo</t>
  </si>
  <si>
    <t xml:space="preserve">Hall do elevador </t>
  </si>
  <si>
    <t>Cozinha</t>
  </si>
  <si>
    <t>Auditório</t>
  </si>
  <si>
    <t xml:space="preserve">Hall - Lateral de entrada </t>
  </si>
  <si>
    <t>Hall - DML</t>
  </si>
  <si>
    <t>Hall - Frente Banheiro Recepção</t>
  </si>
  <si>
    <t>Registro e Cadastro</t>
  </si>
  <si>
    <t>Recepção</t>
  </si>
  <si>
    <t>Hall -Frente TI</t>
  </si>
  <si>
    <t>Digitalização/Carteira</t>
  </si>
  <si>
    <t>TI</t>
  </si>
  <si>
    <t xml:space="preserve">Escada </t>
  </si>
  <si>
    <t>Banheiro Masculino</t>
  </si>
  <si>
    <t>Banheiro Feminino</t>
  </si>
  <si>
    <t>Total</t>
  </si>
  <si>
    <t>Peitoril em Marmore Arabesco</t>
  </si>
  <si>
    <t>Divisorias</t>
  </si>
  <si>
    <t>Vidros 6 mm</t>
  </si>
  <si>
    <t>Jenelas Aluminio</t>
  </si>
  <si>
    <t>pegar</t>
  </si>
  <si>
    <t>Pintura Grafiato - Teto</t>
  </si>
  <si>
    <t>Pintura Grafiato - Parde</t>
  </si>
  <si>
    <t>Piso Cerâmico 45 x 45</t>
  </si>
  <si>
    <t xml:space="preserve">Revestimento 40 x 30 </t>
  </si>
  <si>
    <t>Banheiro - Negociação</t>
  </si>
  <si>
    <t>Banheiro - Comunicação</t>
  </si>
  <si>
    <t>Banheiro - Sala da Presidência</t>
  </si>
  <si>
    <t>DML</t>
  </si>
  <si>
    <t xml:space="preserve">Cozinha </t>
  </si>
  <si>
    <t>Banheiro - Feminino</t>
  </si>
  <si>
    <t>pegar metragem</t>
  </si>
  <si>
    <t>TI - Sala Rack</t>
  </si>
  <si>
    <t xml:space="preserve">Rodapé Piso Cerâmico </t>
  </si>
  <si>
    <t xml:space="preserve">Esacda </t>
  </si>
  <si>
    <t>Pegar</t>
  </si>
  <si>
    <t>Corrimão em inox</t>
  </si>
  <si>
    <t>Guarda Corpo em Inox</t>
  </si>
  <si>
    <t>Vaso Sanitário com Caixa Acoplada</t>
  </si>
  <si>
    <t>Piso Acapertado</t>
  </si>
  <si>
    <t xml:space="preserve">pegar </t>
  </si>
  <si>
    <t>Vaso Sanitário com Valvula de Parede</t>
  </si>
  <si>
    <t>Porta 90 x 2,10</t>
  </si>
  <si>
    <t xml:space="preserve">luminaria de embutir </t>
  </si>
  <si>
    <t>COMPOSIÇÃO DE BDI - BENEFÍCIOS E DESPESAS INDIRETAS</t>
  </si>
  <si>
    <t>LIMITES DAS PARCELAS DO BDI PARA OBRAS DO TIPO ACIMA SELECIONADO. ACÓRDÃO TCU 2622/2013</t>
  </si>
  <si>
    <t>PARCELAS DO BDI</t>
  </si>
  <si>
    <t>VALOR ADOTADO</t>
  </si>
  <si>
    <t>Mín</t>
  </si>
  <si>
    <t>Med.</t>
  </si>
  <si>
    <t>Máx.</t>
  </si>
  <si>
    <t>(AC) - Administração Central</t>
  </si>
  <si>
    <t>(S) + (G) - Seguro e Garantia</t>
  </si>
  <si>
    <t>(R) - Risco</t>
  </si>
  <si>
    <t>(DF) - Despesas Financeiras</t>
  </si>
  <si>
    <t>(L) - Lucro</t>
  </si>
  <si>
    <t>(I1) - PIS</t>
  </si>
  <si>
    <t>(I2) - COFINS</t>
  </si>
  <si>
    <t>(I3) - ISS</t>
  </si>
  <si>
    <t>(I4) - Contrib. Previdenciária</t>
  </si>
  <si>
    <t>BDI ADOTADO</t>
  </si>
  <si>
    <t>LIMITES DO VALOR DO BDI PARA OBRAS.
ACÓRDÃO TCU 2622/2013</t>
  </si>
  <si>
    <t>DECLARO que o percentual de encargos sociais utilizados no valor da mão-de-obra do orçamento são os encargos sociais praticados pelo SINAPI e/ou SICRO.</t>
  </si>
  <si>
    <t>luminaria</t>
  </si>
  <si>
    <t xml:space="preserve">porta </t>
  </si>
  <si>
    <t xml:space="preserve">janela </t>
  </si>
  <si>
    <t>vitral</t>
  </si>
  <si>
    <t xml:space="preserve">Vaso cx acoplada </t>
  </si>
  <si>
    <t>vaso valvula parede</t>
  </si>
  <si>
    <t xml:space="preserve">piso </t>
  </si>
  <si>
    <t>ITEM</t>
  </si>
  <si>
    <t>CALHA EM CHAPA DE AÇO GALVANIZADO NÚMERO 24, DESENVOLVIMENTO DE 33 CM, INCLUSO TRANSPORTE VERTICAL. AF_07/2019</t>
  </si>
  <si>
    <t>TRASPORTE DE ENTULHO EM CAÇAMBA ESTACIONÁRIA INCLUSO A CARGA MANUAL</t>
  </si>
  <si>
    <t>TELHAMENTO COM TELHA ONDULADA DE FIBROCIMENTO E= 6MM</t>
  </si>
  <si>
    <t>REVISÃO (ENCAIXE DAS TELHAS) TELHAMENTO COM TELHA CERÂMICA CAPA-CANAL, TIPO PLAN, COM MAIS DE 2 ÁGUAS, INCLUSO TRANSPORTE VERTICAL. AF_07/2019</t>
  </si>
  <si>
    <t>VALOR UNIT.</t>
  </si>
  <si>
    <t>Insumo</t>
  </si>
  <si>
    <t>IMPERMEABILIZAÇÃO DE SUPERFÍCIE COM MANTA ASFÁLTICA DUAS CAMADAS INCLUSIVE APLICAÇÃO DE PRIME  ASFÁLTICO.</t>
  </si>
  <si>
    <t>CREA/GO 1018627251D-GO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</si>
</sst>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"/>
    <numFmt numFmtId="165" formatCode="0.0_ "/>
  </numFmts>
  <fonts count="24">
    <font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name val="Calibri"/>
      <charset val="134"/>
      <scheme val="minor"/>
    </font>
    <font>
      <sz val="7.05"/>
      <color rgb="FF000000"/>
      <name val="CIDFont"/>
      <charset val="134"/>
    </font>
    <font>
      <b/>
      <sz val="10"/>
      <name val="Arial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b/>
      <sz val="10"/>
      <color theme="1"/>
      <name val="Calibri"/>
      <charset val="134"/>
      <scheme val="minor"/>
    </font>
    <font>
      <sz val="10"/>
      <color theme="1"/>
      <name val="Times New Roman"/>
      <charset val="134"/>
    </font>
    <font>
      <b/>
      <sz val="10"/>
      <name val="Calibri"/>
      <charset val="134"/>
      <scheme val="minor"/>
    </font>
    <font>
      <sz val="11"/>
      <color rgb="FF000000"/>
      <name val="Arial Narrow"/>
      <charset val="134"/>
    </font>
    <font>
      <b/>
      <sz val="16"/>
      <color rgb="FF000000"/>
      <name val="Arial Narrow"/>
      <charset val="134"/>
    </font>
    <font>
      <b/>
      <sz val="11"/>
      <color rgb="FF000000"/>
      <name val="Arial Narrow"/>
      <charset val="134"/>
    </font>
    <font>
      <sz val="11"/>
      <color rgb="FF000000"/>
      <name val="Calibri"/>
      <charset val="134"/>
    </font>
    <font>
      <sz val="10"/>
      <color rgb="FFFF0000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sz val="10"/>
      <color rgb="FFFF0000"/>
      <name val="Arial"/>
      <charset val="134"/>
    </font>
    <font>
      <sz val="9.9499999999999993"/>
      <color rgb="FFFF0000"/>
      <name val="Helvetica"/>
      <charset val="134"/>
    </font>
    <font>
      <sz val="11"/>
      <color rgb="FFFF0000"/>
      <name val="Calibri"/>
      <charset val="134"/>
      <scheme val="minor"/>
    </font>
    <font>
      <b/>
      <sz val="10"/>
      <color rgb="FFFF0000"/>
      <name val="Arial"/>
      <charset val="134"/>
    </font>
    <font>
      <sz val="10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</borders>
  <cellStyleXfs count="3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43" fontId="0" fillId="0" borderId="0" xfId="1" applyFont="1" applyFill="1" applyAlignment="1">
      <alignment horizontal="center" vertical="center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 shrinkToFit="1"/>
    </xf>
    <xf numFmtId="43" fontId="1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  <xf numFmtId="43" fontId="0" fillId="0" borderId="0" xfId="0" applyNumberFormat="1">
      <alignment vertical="center"/>
    </xf>
    <xf numFmtId="0" fontId="11" fillId="0" borderId="0" xfId="0" applyFont="1">
      <alignment vertical="center"/>
    </xf>
    <xf numFmtId="0" fontId="11" fillId="3" borderId="9" xfId="0" applyFont="1" applyFill="1" applyBorder="1">
      <alignment vertical="center"/>
    </xf>
    <xf numFmtId="0" fontId="11" fillId="3" borderId="0" xfId="0" applyFont="1" applyFill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3" xfId="0" applyFont="1" applyBorder="1">
      <alignment vertical="center"/>
    </xf>
    <xf numFmtId="2" fontId="11" fillId="0" borderId="3" xfId="2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0" fontId="13" fillId="0" borderId="0" xfId="2" applyNumberFormat="1" applyFont="1" applyAlignment="1">
      <alignment horizontal="center" vertical="center"/>
    </xf>
    <xf numFmtId="10" fontId="11" fillId="0" borderId="3" xfId="2" applyNumberFormat="1" applyFont="1" applyBorder="1" applyAlignment="1">
      <alignment horizontal="center" vertical="center"/>
    </xf>
    <xf numFmtId="0" fontId="14" fillId="0" borderId="0" xfId="0" applyFont="1" applyAlignment="1"/>
    <xf numFmtId="164" fontId="0" fillId="0" borderId="3" xfId="0" applyNumberFormat="1" applyBorder="1">
      <alignment vertical="center"/>
    </xf>
    <xf numFmtId="0" fontId="0" fillId="2" borderId="3" xfId="0" applyFill="1" applyBorder="1">
      <alignment vertical="center"/>
    </xf>
    <xf numFmtId="165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43" fontId="3" fillId="0" borderId="0" xfId="0" applyNumberFormat="1" applyFont="1">
      <alignment vertical="center"/>
    </xf>
    <xf numFmtId="43" fontId="0" fillId="2" borderId="3" xfId="1" applyFont="1" applyFill="1" applyBorder="1" applyAlignment="1">
      <alignment horizontal="center" vertical="center"/>
    </xf>
    <xf numFmtId="43" fontId="16" fillId="0" borderId="3" xfId="0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165" fontId="15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3" fontId="15" fillId="0" borderId="3" xfId="1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43" fontId="16" fillId="0" borderId="3" xfId="0" applyNumberFormat="1" applyFont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43" fontId="16" fillId="5" borderId="3" xfId="0" applyNumberFormat="1" applyFont="1" applyFill="1" applyBorder="1" applyAlignment="1">
      <alignment horizontal="center" vertical="center" wrapText="1"/>
    </xf>
    <xf numFmtId="43" fontId="8" fillId="0" borderId="0" xfId="0" applyNumberFormat="1" applyFont="1">
      <alignment vertical="center"/>
    </xf>
    <xf numFmtId="0" fontId="19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1478280</xdr:colOff>
      <xdr:row>5</xdr:row>
      <xdr:rowOff>142875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53"/>
        <a:stretch>
          <a:fillRect/>
        </a:stretch>
      </xdr:blipFill>
      <xdr:spPr>
        <a:xfrm>
          <a:off x="828675" y="323850"/>
          <a:ext cx="284988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26</xdr:row>
      <xdr:rowOff>333375</xdr:rowOff>
    </xdr:from>
    <xdr:to>
      <xdr:col>3</xdr:col>
      <xdr:colOff>400050</xdr:colOff>
      <xdr:row>29</xdr:row>
      <xdr:rowOff>180340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6048375"/>
          <a:ext cx="2333625" cy="65659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1478280</xdr:colOff>
      <xdr:row>3</xdr:row>
      <xdr:rowOff>142875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53"/>
        <a:stretch>
          <a:fillRect/>
        </a:stretch>
      </xdr:blipFill>
      <xdr:spPr>
        <a:xfrm>
          <a:off x="1276350" y="323850"/>
          <a:ext cx="234505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A267"/>
  <sheetViews>
    <sheetView showGridLines="0" view="pageBreakPreview" topLeftCell="A135" zoomScaleNormal="100" workbookViewId="0">
      <selection activeCell="G144" sqref="G144:H144"/>
    </sheetView>
  </sheetViews>
  <sheetFormatPr defaultColWidth="9.140625" defaultRowHeight="12.75"/>
  <cols>
    <col min="1" max="1" width="3.28515625" customWidth="1"/>
    <col min="2" max="2" width="9.140625" style="10"/>
    <col min="3" max="3" width="20.5703125" style="10" customWidth="1"/>
    <col min="4" max="4" width="76.42578125" style="11" customWidth="1"/>
    <col min="5" max="5" width="5.42578125" style="10" customWidth="1"/>
    <col min="6" max="6" width="10.28515625" style="10" customWidth="1"/>
    <col min="7" max="7" width="10.5703125" style="10"/>
    <col min="8" max="8" width="8.5703125" style="10" customWidth="1"/>
    <col min="9" max="9" width="10.28515625" style="10"/>
    <col min="10" max="10" width="17.7109375" style="12" customWidth="1"/>
    <col min="11" max="11" width="16" customWidth="1"/>
    <col min="12" max="12" width="11.7109375"/>
  </cols>
  <sheetData>
    <row r="8" spans="1:42">
      <c r="B8" s="13" t="s">
        <v>0</v>
      </c>
    </row>
    <row r="9" spans="1:42">
      <c r="B9" s="13" t="s">
        <v>1</v>
      </c>
    </row>
    <row r="10" spans="1:42" ht="12" customHeight="1">
      <c r="B10" s="13" t="s">
        <v>2</v>
      </c>
    </row>
    <row r="11" spans="1:42">
      <c r="B11" s="13" t="s">
        <v>3</v>
      </c>
    </row>
    <row r="12" spans="1:42">
      <c r="B12" s="13" t="s">
        <v>4</v>
      </c>
    </row>
    <row r="14" spans="1:42" ht="36">
      <c r="B14" s="14" t="s">
        <v>5</v>
      </c>
      <c r="C14" s="14" t="s">
        <v>6</v>
      </c>
      <c r="D14" s="14" t="s">
        <v>7</v>
      </c>
      <c r="E14" s="14" t="s">
        <v>8</v>
      </c>
      <c r="F14" s="14" t="s">
        <v>9</v>
      </c>
      <c r="G14" s="14" t="s">
        <v>10</v>
      </c>
      <c r="H14" s="26" t="s">
        <v>11</v>
      </c>
      <c r="I14" s="26" t="s">
        <v>12</v>
      </c>
      <c r="J14" s="14" t="s">
        <v>13</v>
      </c>
    </row>
    <row r="15" spans="1:42" s="50" customFormat="1">
      <c r="A15" s="8"/>
      <c r="B15" s="16"/>
      <c r="C15" s="16"/>
      <c r="D15" s="17" t="s">
        <v>14</v>
      </c>
      <c r="E15" s="15"/>
      <c r="F15" s="15"/>
      <c r="G15" s="15"/>
      <c r="H15" s="15"/>
      <c r="I15" s="15"/>
      <c r="J15" s="27"/>
      <c r="K15" s="66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</row>
    <row r="16" spans="1:42" s="9" customFormat="1" ht="25.5">
      <c r="B16" s="54" t="s">
        <v>15</v>
      </c>
      <c r="C16" s="54" t="s">
        <v>16</v>
      </c>
      <c r="D16" s="55" t="s">
        <v>17</v>
      </c>
      <c r="E16" s="54" t="s">
        <v>18</v>
      </c>
      <c r="F16" s="56">
        <f>11+8+13+5.2+4+3+10</f>
        <v>54.2</v>
      </c>
      <c r="G16" s="56">
        <v>51.25</v>
      </c>
      <c r="H16" s="56">
        <v>7.22</v>
      </c>
      <c r="I16" s="56">
        <f>G16+H16</f>
        <v>58.47</v>
      </c>
      <c r="J16" s="67">
        <f>F16*I16</f>
        <v>3169.0740000000001</v>
      </c>
    </row>
    <row r="17" spans="1:42" s="9" customFormat="1" ht="25.5">
      <c r="B17" s="54" t="s">
        <v>19</v>
      </c>
      <c r="C17" s="54" t="s">
        <v>16</v>
      </c>
      <c r="D17" s="55" t="s">
        <v>20</v>
      </c>
      <c r="E17" s="54" t="s">
        <v>18</v>
      </c>
      <c r="F17" s="56">
        <f>9.5+2.9+2.4+5.37+5.2+5.8+15+10+5.7+17</f>
        <v>78.87</v>
      </c>
      <c r="G17" s="56">
        <v>43.12</v>
      </c>
      <c r="H17" s="56">
        <v>4.8899999999999997</v>
      </c>
      <c r="I17" s="56">
        <f>G17+H17</f>
        <v>48.01</v>
      </c>
      <c r="J17" s="67">
        <f>F17*I17</f>
        <v>3786.5487000000003</v>
      </c>
    </row>
    <row r="18" spans="1:42" s="9" customFormat="1" ht="38.25">
      <c r="B18" s="54">
        <v>92543</v>
      </c>
      <c r="C18" s="54" t="s">
        <v>16</v>
      </c>
      <c r="D18" s="55" t="s">
        <v>21</v>
      </c>
      <c r="E18" s="54" t="s">
        <v>22</v>
      </c>
      <c r="F18" s="57">
        <v>50</v>
      </c>
      <c r="G18" s="54">
        <v>20.170000000000002</v>
      </c>
      <c r="H18" s="54">
        <v>3.21</v>
      </c>
      <c r="I18" s="56">
        <f t="shared" ref="I18:I31" si="0">G18+H18</f>
        <v>23.380000000000003</v>
      </c>
      <c r="J18" s="67">
        <f t="shared" ref="J18:J31" si="1">F18*I18</f>
        <v>1169.0000000000002</v>
      </c>
    </row>
    <row r="19" spans="1:42" s="9" customFormat="1" ht="25.5">
      <c r="A19"/>
      <c r="B19" s="5">
        <v>94446</v>
      </c>
      <c r="C19" s="5" t="s">
        <v>16</v>
      </c>
      <c r="D19" s="6" t="s">
        <v>23</v>
      </c>
      <c r="E19" s="5" t="s">
        <v>22</v>
      </c>
      <c r="F19" s="5">
        <v>0</v>
      </c>
      <c r="G19" s="5">
        <f>0.03+49.01</f>
        <v>49.04</v>
      </c>
      <c r="H19" s="5">
        <f>11.88+0.02</f>
        <v>11.9</v>
      </c>
      <c r="I19" s="4">
        <f t="shared" si="0"/>
        <v>60.94</v>
      </c>
      <c r="J19" s="28">
        <f t="shared" si="1"/>
        <v>0</v>
      </c>
    </row>
    <row r="20" spans="1:42" s="9" customFormat="1" ht="25.5">
      <c r="B20" s="54">
        <v>94218</v>
      </c>
      <c r="C20" s="54" t="s">
        <v>16</v>
      </c>
      <c r="D20" s="55" t="s">
        <v>24</v>
      </c>
      <c r="E20" s="54" t="s">
        <v>22</v>
      </c>
      <c r="F20" s="54">
        <v>30</v>
      </c>
      <c r="G20" s="54">
        <v>120.48</v>
      </c>
      <c r="H20" s="54">
        <v>4.5199999999999996</v>
      </c>
      <c r="I20" s="56">
        <f t="shared" si="0"/>
        <v>125</v>
      </c>
      <c r="J20" s="67">
        <f t="shared" si="1"/>
        <v>3750</v>
      </c>
    </row>
    <row r="21" spans="1:42" s="9" customFormat="1" ht="25.5">
      <c r="B21" s="54">
        <v>20101</v>
      </c>
      <c r="C21" s="54" t="s">
        <v>25</v>
      </c>
      <c r="D21" s="55" t="s">
        <v>26</v>
      </c>
      <c r="E21" s="54" t="s">
        <v>22</v>
      </c>
      <c r="F21" s="57">
        <v>100</v>
      </c>
      <c r="G21" s="54">
        <v>4.84</v>
      </c>
      <c r="H21" s="54"/>
      <c r="I21" s="56">
        <f t="shared" si="0"/>
        <v>4.84</v>
      </c>
      <c r="J21" s="67">
        <f t="shared" si="1"/>
        <v>484</v>
      </c>
    </row>
    <row r="22" spans="1:42" s="51" customFormat="1">
      <c r="A22"/>
      <c r="B22" s="58"/>
      <c r="C22" s="58"/>
      <c r="D22" s="58" t="s">
        <v>27</v>
      </c>
      <c r="E22" s="58"/>
      <c r="F22" s="58"/>
      <c r="G22" s="58"/>
      <c r="H22" s="58"/>
      <c r="I22" s="58"/>
      <c r="J22" s="68"/>
      <c r="K22" s="3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9" customFormat="1" ht="25.5">
      <c r="A23"/>
      <c r="B23" s="5">
        <v>90806</v>
      </c>
      <c r="C23" s="5" t="s">
        <v>16</v>
      </c>
      <c r="D23" s="6" t="s">
        <v>28</v>
      </c>
      <c r="E23" s="5" t="s">
        <v>29</v>
      </c>
      <c r="F23" s="5">
        <v>15</v>
      </c>
      <c r="G23" s="5">
        <v>235.57</v>
      </c>
      <c r="H23" s="5">
        <v>115.87</v>
      </c>
      <c r="I23" s="4">
        <f t="shared" si="0"/>
        <v>351.44</v>
      </c>
      <c r="J23" s="28">
        <f t="shared" si="1"/>
        <v>5271.6</v>
      </c>
    </row>
    <row r="24" spans="1:42" s="9" customFormat="1" ht="38.25">
      <c r="A24"/>
      <c r="B24" s="5">
        <v>90820</v>
      </c>
      <c r="C24" s="5" t="s">
        <v>16</v>
      </c>
      <c r="D24" s="6" t="s">
        <v>30</v>
      </c>
      <c r="E24" s="5" t="s">
        <v>29</v>
      </c>
      <c r="F24" s="5">
        <f>1+2+1+1</f>
        <v>5</v>
      </c>
      <c r="G24" s="5">
        <v>301.18</v>
      </c>
      <c r="H24" s="5">
        <v>30.85</v>
      </c>
      <c r="I24" s="4">
        <f t="shared" si="0"/>
        <v>332.03000000000003</v>
      </c>
      <c r="J24" s="28">
        <f t="shared" si="1"/>
        <v>1660.15</v>
      </c>
    </row>
    <row r="25" spans="1:42" s="9" customFormat="1" ht="38.25">
      <c r="A25"/>
      <c r="B25" s="5">
        <v>90822</v>
      </c>
      <c r="C25" s="5" t="s">
        <v>16</v>
      </c>
      <c r="D25" s="6" t="s">
        <v>31</v>
      </c>
      <c r="E25" s="5" t="s">
        <v>29</v>
      </c>
      <c r="F25" s="5">
        <v>15</v>
      </c>
      <c r="G25" s="5">
        <v>321.36</v>
      </c>
      <c r="H25" s="5">
        <v>37.200000000000003</v>
      </c>
      <c r="I25" s="4">
        <f t="shared" si="0"/>
        <v>358.56</v>
      </c>
      <c r="J25" s="28">
        <f t="shared" si="1"/>
        <v>5378.4</v>
      </c>
    </row>
    <row r="26" spans="1:42" s="9" customFormat="1" ht="38.25">
      <c r="A26"/>
      <c r="B26" s="5">
        <v>90823</v>
      </c>
      <c r="C26" s="5" t="s">
        <v>16</v>
      </c>
      <c r="D26" s="6" t="s">
        <v>32</v>
      </c>
      <c r="E26" s="5" t="s">
        <v>29</v>
      </c>
      <c r="F26" s="5">
        <v>15</v>
      </c>
      <c r="G26" s="5">
        <v>387.13</v>
      </c>
      <c r="H26" s="5">
        <v>40.380000000000003</v>
      </c>
      <c r="I26" s="4">
        <f t="shared" si="0"/>
        <v>427.51</v>
      </c>
      <c r="J26" s="28">
        <f t="shared" si="1"/>
        <v>6412.65</v>
      </c>
    </row>
    <row r="27" spans="1:42" s="9" customFormat="1" ht="25.5">
      <c r="A27"/>
      <c r="B27" s="5">
        <v>100659</v>
      </c>
      <c r="C27" s="5" t="s">
        <v>16</v>
      </c>
      <c r="D27" s="6" t="s">
        <v>33</v>
      </c>
      <c r="E27" s="5" t="s">
        <v>18</v>
      </c>
      <c r="F27" s="5">
        <f>(7.92*15)</f>
        <v>118.8</v>
      </c>
      <c r="G27" s="5">
        <v>8.15</v>
      </c>
      <c r="H27" s="5">
        <v>1.61</v>
      </c>
      <c r="I27" s="4">
        <f t="shared" si="0"/>
        <v>9.76</v>
      </c>
      <c r="J27" s="28">
        <f t="shared" si="1"/>
        <v>1159.4880000000001</v>
      </c>
      <c r="L27" s="9">
        <f>((2.2*2)*0.9)</f>
        <v>3.9600000000000004</v>
      </c>
    </row>
    <row r="28" spans="1:42" s="9" customFormat="1" ht="38.25">
      <c r="A28"/>
      <c r="B28" s="5">
        <v>90830</v>
      </c>
      <c r="C28" s="5" t="s">
        <v>16</v>
      </c>
      <c r="D28" s="6" t="s">
        <v>34</v>
      </c>
      <c r="E28" s="5" t="s">
        <v>29</v>
      </c>
      <c r="F28" s="5">
        <v>10</v>
      </c>
      <c r="G28" s="5">
        <v>206.26</v>
      </c>
      <c r="H28" s="5">
        <v>24.11</v>
      </c>
      <c r="I28" s="4">
        <f t="shared" si="0"/>
        <v>230.37</v>
      </c>
      <c r="J28" s="28">
        <f t="shared" si="1"/>
        <v>2303.6999999999998</v>
      </c>
    </row>
    <row r="29" spans="1:42" s="9" customFormat="1" ht="25.5">
      <c r="A29"/>
      <c r="B29" s="59">
        <v>91341</v>
      </c>
      <c r="C29" s="5" t="s">
        <v>16</v>
      </c>
      <c r="D29" s="6" t="s">
        <v>35</v>
      </c>
      <c r="E29" s="5" t="s">
        <v>22</v>
      </c>
      <c r="F29" s="5">
        <f>(0.9*2.1)*2</f>
        <v>3.7800000000000002</v>
      </c>
      <c r="G29" s="5">
        <v>630.22</v>
      </c>
      <c r="H29" s="5">
        <v>9.68</v>
      </c>
      <c r="I29" s="4">
        <f t="shared" si="0"/>
        <v>639.9</v>
      </c>
      <c r="J29" s="28">
        <f t="shared" si="1"/>
        <v>2418.8220000000001</v>
      </c>
      <c r="L29" s="9">
        <f>L27*2</f>
        <v>7.9200000000000008</v>
      </c>
    </row>
    <row r="30" spans="1:42" s="9" customFormat="1" ht="15">
      <c r="A30"/>
      <c r="B30" s="59">
        <v>102203</v>
      </c>
      <c r="C30" s="5" t="s">
        <v>16</v>
      </c>
      <c r="D30" s="6" t="s">
        <v>36</v>
      </c>
      <c r="E30" s="5" t="s">
        <v>22</v>
      </c>
      <c r="F30" s="5">
        <f>(0.9*2.1*58)*1.2</f>
        <v>131.54400000000001</v>
      </c>
      <c r="G30" s="5">
        <v>5.2</v>
      </c>
      <c r="H30" s="5">
        <v>4.58</v>
      </c>
      <c r="I30" s="4">
        <f t="shared" si="0"/>
        <v>9.7800000000000011</v>
      </c>
      <c r="J30" s="28">
        <f t="shared" si="1"/>
        <v>1286.5003200000003</v>
      </c>
    </row>
    <row r="31" spans="1:42" s="9" customFormat="1" ht="15">
      <c r="A31"/>
      <c r="B31" s="59">
        <v>230201</v>
      </c>
      <c r="C31" s="5" t="s">
        <v>25</v>
      </c>
      <c r="D31" s="6" t="s">
        <v>37</v>
      </c>
      <c r="E31" s="5" t="s">
        <v>29</v>
      </c>
      <c r="F31" s="5">
        <f>58*3</f>
        <v>174</v>
      </c>
      <c r="G31" s="5">
        <v>20.91</v>
      </c>
      <c r="H31" s="5"/>
      <c r="I31" s="4">
        <f t="shared" si="0"/>
        <v>20.91</v>
      </c>
      <c r="J31" s="28">
        <f t="shared" si="1"/>
        <v>3638.34</v>
      </c>
    </row>
    <row r="32" spans="1:42" s="51" customFormat="1">
      <c r="A32"/>
      <c r="B32" s="58"/>
      <c r="C32" s="58"/>
      <c r="D32" s="58" t="s">
        <v>38</v>
      </c>
      <c r="E32" s="58"/>
      <c r="F32" s="58"/>
      <c r="G32" s="58"/>
      <c r="H32" s="58"/>
      <c r="I32" s="58"/>
      <c r="J32" s="68"/>
      <c r="K32" s="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9" customFormat="1" ht="38.25">
      <c r="A33"/>
      <c r="B33" s="59">
        <v>94570</v>
      </c>
      <c r="C33" s="5" t="s">
        <v>16</v>
      </c>
      <c r="D33" s="6" t="s">
        <v>39</v>
      </c>
      <c r="E33" s="5" t="s">
        <v>22</v>
      </c>
      <c r="F33" s="18">
        <f>'Memorial de Cálculo'!W75</f>
        <v>39.988100000000003</v>
      </c>
      <c r="G33" s="5">
        <v>297.93</v>
      </c>
      <c r="H33" s="5">
        <v>13.12</v>
      </c>
      <c r="I33" s="4">
        <f t="shared" ref="I33:I38" si="2">G33+H33</f>
        <v>311.05</v>
      </c>
      <c r="J33" s="28">
        <f t="shared" ref="J33:J38" si="3">F33*I33</f>
        <v>12438.298505000001</v>
      </c>
    </row>
    <row r="34" spans="1:42" s="9" customFormat="1" ht="38.25">
      <c r="A34"/>
      <c r="B34" s="59">
        <v>94590</v>
      </c>
      <c r="C34" s="5" t="s">
        <v>16</v>
      </c>
      <c r="D34" s="6" t="s">
        <v>40</v>
      </c>
      <c r="E34" s="5" t="s">
        <v>18</v>
      </c>
      <c r="F34" s="5">
        <v>100</v>
      </c>
      <c r="G34" s="5">
        <v>13.37</v>
      </c>
      <c r="H34" s="5">
        <v>3.84</v>
      </c>
      <c r="I34" s="4">
        <f t="shared" si="2"/>
        <v>17.21</v>
      </c>
      <c r="J34" s="28">
        <f t="shared" si="3"/>
        <v>1721</v>
      </c>
    </row>
    <row r="35" spans="1:42" s="51" customFormat="1">
      <c r="A35"/>
      <c r="B35" s="58"/>
      <c r="C35" s="58"/>
      <c r="D35" s="58" t="s">
        <v>41</v>
      </c>
      <c r="E35" s="58"/>
      <c r="F35" s="58"/>
      <c r="G35" s="58"/>
      <c r="H35" s="58"/>
      <c r="I35" s="58"/>
      <c r="J35" s="68"/>
      <c r="K35" s="32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9" customFormat="1" ht="51">
      <c r="A36"/>
      <c r="B36" s="5">
        <v>102189</v>
      </c>
      <c r="C36" s="5" t="s">
        <v>16</v>
      </c>
      <c r="D36" s="6" t="s">
        <v>42</v>
      </c>
      <c r="E36" s="5" t="s">
        <v>29</v>
      </c>
      <c r="F36" s="5">
        <v>2</v>
      </c>
      <c r="G36" s="5">
        <v>253.78</v>
      </c>
      <c r="H36" s="5">
        <v>56.59</v>
      </c>
      <c r="I36" s="4">
        <f t="shared" si="2"/>
        <v>310.37</v>
      </c>
      <c r="J36" s="28">
        <f t="shared" si="3"/>
        <v>620.74</v>
      </c>
    </row>
    <row r="37" spans="1:42" s="9" customFormat="1">
      <c r="A37"/>
      <c r="B37" s="5">
        <v>102179</v>
      </c>
      <c r="C37" s="5" t="s">
        <v>16</v>
      </c>
      <c r="D37" s="6" t="s">
        <v>43</v>
      </c>
      <c r="E37" s="5" t="s">
        <v>22</v>
      </c>
      <c r="F37" s="18">
        <v>45.04</v>
      </c>
      <c r="G37" s="5">
        <v>237.59</v>
      </c>
      <c r="H37" s="5">
        <v>44.48</v>
      </c>
      <c r="I37" s="4">
        <f t="shared" si="2"/>
        <v>282.07</v>
      </c>
      <c r="J37" s="28">
        <f t="shared" si="3"/>
        <v>12704.432799999999</v>
      </c>
    </row>
    <row r="38" spans="1:42" s="9" customFormat="1">
      <c r="A38"/>
      <c r="B38" s="5">
        <v>102180</v>
      </c>
      <c r="C38" s="5" t="s">
        <v>16</v>
      </c>
      <c r="D38" s="6" t="s">
        <v>44</v>
      </c>
      <c r="E38" s="5" t="s">
        <v>22</v>
      </c>
      <c r="F38" s="5">
        <f>3.21*2.2</f>
        <v>7.0620000000000003</v>
      </c>
      <c r="G38" s="5">
        <v>279.52999999999997</v>
      </c>
      <c r="H38" s="5">
        <v>42.38</v>
      </c>
      <c r="I38" s="4">
        <f t="shared" si="2"/>
        <v>321.90999999999997</v>
      </c>
      <c r="J38" s="28">
        <f t="shared" si="3"/>
        <v>2273.3284199999998</v>
      </c>
    </row>
    <row r="39" spans="1:42" s="9" customFormat="1" ht="25.5">
      <c r="A39"/>
      <c r="B39" s="5">
        <v>102182</v>
      </c>
      <c r="C39" s="5" t="s">
        <v>16</v>
      </c>
      <c r="D39" s="6" t="s">
        <v>45</v>
      </c>
      <c r="E39" s="5" t="s">
        <v>29</v>
      </c>
      <c r="F39" s="5">
        <v>2</v>
      </c>
      <c r="G39" s="5">
        <v>819.58</v>
      </c>
      <c r="H39" s="5">
        <v>53.86</v>
      </c>
      <c r="I39" s="4">
        <f t="shared" ref="I39:I44" si="4">G39+H39</f>
        <v>873.44</v>
      </c>
      <c r="J39" s="28">
        <f t="shared" ref="J39:J44" si="5">F39*I39</f>
        <v>1746.88</v>
      </c>
    </row>
    <row r="40" spans="1:42" s="9" customFormat="1" ht="25.5">
      <c r="A40"/>
      <c r="B40" s="59">
        <v>102181</v>
      </c>
      <c r="C40" s="5" t="s">
        <v>16</v>
      </c>
      <c r="D40" s="6" t="s">
        <v>46</v>
      </c>
      <c r="E40" s="5" t="s">
        <v>22</v>
      </c>
      <c r="F40" s="5">
        <f>((2.06*4)+(7.17*3.24))</f>
        <v>31.470800000000004</v>
      </c>
      <c r="G40" s="4">
        <v>336.93</v>
      </c>
      <c r="H40" s="4">
        <v>39.76</v>
      </c>
      <c r="I40" s="4">
        <f t="shared" si="4"/>
        <v>376.69</v>
      </c>
      <c r="J40" s="28">
        <f t="shared" si="5"/>
        <v>11854.735652000001</v>
      </c>
    </row>
    <row r="41" spans="1:42">
      <c r="B41" s="58"/>
      <c r="C41" s="58"/>
      <c r="D41" s="58" t="s">
        <v>47</v>
      </c>
      <c r="E41" s="58"/>
      <c r="F41" s="58"/>
      <c r="G41" s="58"/>
      <c r="H41" s="58"/>
      <c r="I41" s="58"/>
      <c r="J41" s="68"/>
      <c r="K41" s="32"/>
    </row>
    <row r="42" spans="1:42" s="9" customFormat="1" ht="15">
      <c r="A42"/>
      <c r="B42" s="60">
        <v>93182</v>
      </c>
      <c r="C42" s="5" t="s">
        <v>16</v>
      </c>
      <c r="D42" s="6" t="s">
        <v>48</v>
      </c>
      <c r="E42" s="5" t="s">
        <v>18</v>
      </c>
      <c r="F42" s="5">
        <f>'Memorial de Cálculo'!E75*1.2</f>
        <v>45.024000000000001</v>
      </c>
      <c r="G42" s="5">
        <f>0.03+41.15</f>
        <v>41.18</v>
      </c>
      <c r="H42" s="5">
        <f>7.65+0.03</f>
        <v>7.6800000000000006</v>
      </c>
      <c r="I42" s="4">
        <f t="shared" si="4"/>
        <v>48.86</v>
      </c>
      <c r="J42" s="28">
        <f t="shared" si="5"/>
        <v>2199.87264</v>
      </c>
    </row>
    <row r="43" spans="1:42" s="51" customFormat="1" ht="15">
      <c r="A43"/>
      <c r="B43" s="59"/>
      <c r="C43" s="5"/>
      <c r="D43" s="58" t="s">
        <v>49</v>
      </c>
      <c r="E43" s="5"/>
      <c r="F43" s="5"/>
      <c r="G43" s="5"/>
      <c r="H43" s="5"/>
      <c r="I43" s="5"/>
      <c r="J43" s="31"/>
      <c r="K43" s="32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9" customFormat="1" ht="25.5">
      <c r="A44"/>
      <c r="B44" s="59">
        <v>98560</v>
      </c>
      <c r="C44" s="5" t="s">
        <v>16</v>
      </c>
      <c r="D44" s="6" t="s">
        <v>50</v>
      </c>
      <c r="E44" s="5" t="s">
        <v>22</v>
      </c>
      <c r="F44" s="5">
        <v>100</v>
      </c>
      <c r="G44" s="5">
        <f>0.02+23.97</f>
        <v>23.99</v>
      </c>
      <c r="H44" s="5">
        <f>22.87+0.02</f>
        <v>22.89</v>
      </c>
      <c r="I44" s="4">
        <f t="shared" si="4"/>
        <v>46.879999999999995</v>
      </c>
      <c r="J44" s="28">
        <f t="shared" si="5"/>
        <v>4688</v>
      </c>
    </row>
    <row r="45" spans="1:42" s="9" customFormat="1" ht="25.5">
      <c r="A45"/>
      <c r="B45" s="59">
        <v>98561</v>
      </c>
      <c r="C45" s="5" t="s">
        <v>16</v>
      </c>
      <c r="D45" s="6" t="s">
        <v>51</v>
      </c>
      <c r="E45" s="5" t="s">
        <v>22</v>
      </c>
      <c r="F45" s="5">
        <v>500</v>
      </c>
      <c r="G45" s="5">
        <f>0.04+22.07</f>
        <v>22.11</v>
      </c>
      <c r="H45" s="5">
        <f>20.78+0.03</f>
        <v>20.810000000000002</v>
      </c>
      <c r="I45" s="4">
        <f t="shared" ref="I45:I48" si="6">G45+H45</f>
        <v>42.92</v>
      </c>
      <c r="J45" s="28">
        <f t="shared" ref="J45:J48" si="7">F45*I45</f>
        <v>21460</v>
      </c>
    </row>
    <row r="46" spans="1:42" s="9" customFormat="1" ht="76.5">
      <c r="A46"/>
      <c r="B46" s="59">
        <v>98555</v>
      </c>
      <c r="C46" s="5" t="s">
        <v>16</v>
      </c>
      <c r="D46" s="6" t="s">
        <v>52</v>
      </c>
      <c r="E46" s="5" t="s">
        <v>22</v>
      </c>
      <c r="F46" s="5">
        <v>500</v>
      </c>
      <c r="G46" s="5">
        <v>14.9</v>
      </c>
      <c r="H46" s="5">
        <v>11.73</v>
      </c>
      <c r="I46" s="4">
        <f t="shared" si="6"/>
        <v>26.630000000000003</v>
      </c>
      <c r="J46" s="28">
        <f t="shared" si="7"/>
        <v>13315.000000000002</v>
      </c>
    </row>
    <row r="47" spans="1:42" s="51" customFormat="1">
      <c r="A47"/>
      <c r="B47" s="61"/>
      <c r="C47" s="61"/>
      <c r="D47" s="58" t="s">
        <v>53</v>
      </c>
      <c r="E47" s="58"/>
      <c r="F47" s="58"/>
      <c r="G47" s="58"/>
      <c r="H47" s="58"/>
      <c r="I47" s="58"/>
      <c r="J47" s="68"/>
      <c r="K47" s="32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9" customFormat="1" ht="25.5">
      <c r="A48"/>
      <c r="B48" s="5" t="s">
        <v>54</v>
      </c>
      <c r="C48" s="5" t="s">
        <v>16</v>
      </c>
      <c r="D48" s="6" t="s">
        <v>55</v>
      </c>
      <c r="E48" s="5" t="s">
        <v>22</v>
      </c>
      <c r="F48" s="62">
        <f>'Memorial de Cálculo'!Q37</f>
        <v>1759.5360000000001</v>
      </c>
      <c r="G48" s="4">
        <v>7.05</v>
      </c>
      <c r="H48" s="4">
        <v>8.43</v>
      </c>
      <c r="I48" s="4">
        <f t="shared" si="6"/>
        <v>15.48</v>
      </c>
      <c r="J48" s="28">
        <f t="shared" si="7"/>
        <v>27237.617280000002</v>
      </c>
    </row>
    <row r="49" spans="1:53" s="9" customFormat="1" ht="25.5">
      <c r="A49"/>
      <c r="B49" s="5" t="s">
        <v>56</v>
      </c>
      <c r="C49" s="5" t="s">
        <v>16</v>
      </c>
      <c r="D49" s="6" t="s">
        <v>57</v>
      </c>
      <c r="E49" s="5" t="s">
        <v>22</v>
      </c>
      <c r="F49" s="62">
        <f>F48</f>
        <v>1759.5360000000001</v>
      </c>
      <c r="G49" s="4">
        <v>2.5</v>
      </c>
      <c r="H49" s="4">
        <v>1.55</v>
      </c>
      <c r="I49" s="4">
        <f t="shared" ref="I49:I57" si="8">G49+H49</f>
        <v>4.05</v>
      </c>
      <c r="J49" s="28">
        <f t="shared" ref="J49:J57" si="9">F49*I49</f>
        <v>7126.1207999999997</v>
      </c>
    </row>
    <row r="50" spans="1:53" s="9" customFormat="1" ht="25.5">
      <c r="A50"/>
      <c r="B50" s="5">
        <v>88489</v>
      </c>
      <c r="C50" s="5" t="s">
        <v>16</v>
      </c>
      <c r="D50" s="6" t="s">
        <v>58</v>
      </c>
      <c r="E50" s="5" t="s">
        <v>22</v>
      </c>
      <c r="F50" s="62">
        <f>F48</f>
        <v>1759.5360000000001</v>
      </c>
      <c r="G50" s="4">
        <v>7.89</v>
      </c>
      <c r="H50" s="4">
        <v>3.79</v>
      </c>
      <c r="I50" s="4">
        <f t="shared" si="8"/>
        <v>11.68</v>
      </c>
      <c r="J50" s="28">
        <f t="shared" si="9"/>
        <v>20551.38048</v>
      </c>
    </row>
    <row r="51" spans="1:53" s="9" customFormat="1" ht="25.5">
      <c r="A51"/>
      <c r="B51" s="5" t="s">
        <v>59</v>
      </c>
      <c r="C51" s="5" t="s">
        <v>16</v>
      </c>
      <c r="D51" s="6" t="s">
        <v>60</v>
      </c>
      <c r="E51" s="5" t="s">
        <v>22</v>
      </c>
      <c r="F51" s="63">
        <f>'Memorial de Cálculo'!W37</f>
        <v>724.91587499999991</v>
      </c>
      <c r="G51" s="4">
        <v>10.6</v>
      </c>
      <c r="H51" s="4">
        <v>17.3</v>
      </c>
      <c r="I51" s="4">
        <f t="shared" si="8"/>
        <v>27.9</v>
      </c>
      <c r="J51" s="28">
        <f t="shared" si="9"/>
        <v>20225.152912499998</v>
      </c>
    </row>
    <row r="52" spans="1:53" s="9" customFormat="1" ht="25.5">
      <c r="A52"/>
      <c r="B52" s="5" t="s">
        <v>61</v>
      </c>
      <c r="C52" s="5" t="s">
        <v>16</v>
      </c>
      <c r="D52" s="6" t="s">
        <v>62</v>
      </c>
      <c r="E52" s="5" t="s">
        <v>22</v>
      </c>
      <c r="F52" s="63">
        <f>F51</f>
        <v>724.91587499999991</v>
      </c>
      <c r="G52" s="4">
        <v>8.48</v>
      </c>
      <c r="H52" s="4">
        <v>5.28</v>
      </c>
      <c r="I52" s="4">
        <f t="shared" si="8"/>
        <v>13.760000000000002</v>
      </c>
      <c r="J52" s="28">
        <f t="shared" si="9"/>
        <v>9974.8424400000004</v>
      </c>
    </row>
    <row r="53" spans="1:53" s="9" customFormat="1">
      <c r="A53"/>
      <c r="B53" s="5" t="s">
        <v>63</v>
      </c>
      <c r="C53" s="5" t="s">
        <v>16</v>
      </c>
      <c r="D53" s="6" t="s">
        <v>64</v>
      </c>
      <c r="E53" s="5" t="s">
        <v>22</v>
      </c>
      <c r="F53" s="63">
        <f>F51</f>
        <v>724.91587499999991</v>
      </c>
      <c r="G53" s="4">
        <v>2.75</v>
      </c>
      <c r="H53" s="4">
        <v>2.16</v>
      </c>
      <c r="I53" s="4">
        <f t="shared" si="8"/>
        <v>4.91</v>
      </c>
      <c r="J53" s="28">
        <f t="shared" si="9"/>
        <v>3559.3369462499995</v>
      </c>
    </row>
    <row r="54" spans="1:53" s="9" customFormat="1">
      <c r="A54"/>
      <c r="B54" s="5" t="s">
        <v>65</v>
      </c>
      <c r="C54" s="5" t="s">
        <v>16</v>
      </c>
      <c r="D54" s="6" t="s">
        <v>66</v>
      </c>
      <c r="E54" s="5" t="s">
        <v>22</v>
      </c>
      <c r="F54" s="4">
        <v>1500</v>
      </c>
      <c r="G54" s="4">
        <v>8.8000000000000007</v>
      </c>
      <c r="H54" s="4">
        <v>3.58</v>
      </c>
      <c r="I54" s="4">
        <f t="shared" si="8"/>
        <v>12.38</v>
      </c>
      <c r="J54" s="28">
        <f t="shared" si="9"/>
        <v>18570</v>
      </c>
    </row>
    <row r="55" spans="1:53">
      <c r="B55" s="5" t="s">
        <v>67</v>
      </c>
      <c r="C55" s="5" t="s">
        <v>68</v>
      </c>
      <c r="D55" s="6" t="s">
        <v>69</v>
      </c>
      <c r="E55" s="5" t="s">
        <v>22</v>
      </c>
      <c r="F55" s="63">
        <f>F51</f>
        <v>724.91587499999991</v>
      </c>
      <c r="G55" s="4">
        <v>19.89</v>
      </c>
      <c r="H55" s="4"/>
      <c r="I55" s="4">
        <f t="shared" si="8"/>
        <v>19.89</v>
      </c>
      <c r="J55" s="28">
        <f t="shared" si="9"/>
        <v>14418.576753749998</v>
      </c>
    </row>
    <row r="56" spans="1:53">
      <c r="B56" s="5" t="s">
        <v>70</v>
      </c>
      <c r="C56" s="5" t="s">
        <v>68</v>
      </c>
      <c r="D56" s="6" t="s">
        <v>71</v>
      </c>
      <c r="E56" s="5" t="s">
        <v>29</v>
      </c>
      <c r="F56" s="4">
        <v>30</v>
      </c>
      <c r="G56" s="4">
        <v>5.95</v>
      </c>
      <c r="H56" s="4"/>
      <c r="I56" s="4">
        <f t="shared" si="8"/>
        <v>5.95</v>
      </c>
      <c r="J56" s="28">
        <f t="shared" si="9"/>
        <v>178.5</v>
      </c>
    </row>
    <row r="57" spans="1:53" s="9" customFormat="1">
      <c r="A57"/>
      <c r="B57" s="5">
        <v>261502</v>
      </c>
      <c r="C57" s="5" t="s">
        <v>25</v>
      </c>
      <c r="D57" s="6" t="s">
        <v>72</v>
      </c>
      <c r="E57" s="5" t="s">
        <v>22</v>
      </c>
      <c r="F57" s="4">
        <v>100</v>
      </c>
      <c r="G57" s="4">
        <v>17.68</v>
      </c>
      <c r="H57" s="4"/>
      <c r="I57" s="4">
        <f t="shared" si="8"/>
        <v>17.68</v>
      </c>
      <c r="J57" s="28">
        <f t="shared" si="9"/>
        <v>1768</v>
      </c>
    </row>
    <row r="58" spans="1:53">
      <c r="B58" s="6"/>
      <c r="C58" s="6"/>
      <c r="D58" s="6" t="s">
        <v>73</v>
      </c>
      <c r="E58" s="6"/>
      <c r="F58" s="6"/>
      <c r="G58" s="6"/>
      <c r="H58" s="6"/>
      <c r="I58" s="6"/>
      <c r="J58" s="68"/>
      <c r="K58" s="32"/>
    </row>
    <row r="59" spans="1:53" s="9" customFormat="1">
      <c r="A59"/>
      <c r="B59" s="5">
        <v>96109</v>
      </c>
      <c r="C59" s="5" t="s">
        <v>16</v>
      </c>
      <c r="D59" s="6" t="s">
        <v>74</v>
      </c>
      <c r="E59" s="5" t="s">
        <v>22</v>
      </c>
      <c r="F59" s="63">
        <f>'Memorial de Cálculo'!W37</f>
        <v>724.91587499999991</v>
      </c>
      <c r="G59" s="4">
        <v>22.11</v>
      </c>
      <c r="H59" s="4">
        <v>18.600000000000001</v>
      </c>
      <c r="I59" s="4">
        <f>G59+H59</f>
        <v>40.71</v>
      </c>
      <c r="J59" s="28">
        <f>F59*I59</f>
        <v>29511.325271249996</v>
      </c>
    </row>
    <row r="60" spans="1:53" s="52" customFormat="1">
      <c r="A60" s="8"/>
      <c r="B60" s="20">
        <v>210506</v>
      </c>
      <c r="C60" s="20" t="s">
        <v>25</v>
      </c>
      <c r="D60" s="21" t="s">
        <v>75</v>
      </c>
      <c r="E60" s="20" t="s">
        <v>18</v>
      </c>
      <c r="F60" s="15">
        <v>500</v>
      </c>
      <c r="G60" s="15">
        <v>14.38</v>
      </c>
      <c r="H60" s="15"/>
      <c r="I60" s="15">
        <f t="shared" ref="I60:I69" si="10">G60+H60</f>
        <v>14.38</v>
      </c>
      <c r="J60" s="30">
        <f t="shared" ref="J60:J69" si="11">F60*I60</f>
        <v>7190</v>
      </c>
    </row>
    <row r="61" spans="1:53" s="9" customFormat="1">
      <c r="A61"/>
      <c r="B61" s="5">
        <v>96120</v>
      </c>
      <c r="C61" s="5" t="s">
        <v>16</v>
      </c>
      <c r="D61" s="6" t="s">
        <v>76</v>
      </c>
      <c r="E61" s="5" t="s">
        <v>22</v>
      </c>
      <c r="F61" s="63">
        <f>F59</f>
        <v>724.91587499999991</v>
      </c>
      <c r="G61" s="4">
        <v>1.84</v>
      </c>
      <c r="H61" s="4">
        <v>1.03</v>
      </c>
      <c r="I61" s="4">
        <f t="shared" si="10"/>
        <v>2.87</v>
      </c>
      <c r="J61" s="28">
        <f t="shared" si="11"/>
        <v>2080.5085612499997</v>
      </c>
    </row>
    <row r="62" spans="1:53" s="9" customFormat="1">
      <c r="A62"/>
      <c r="B62" s="5">
        <v>99054</v>
      </c>
      <c r="C62" s="5" t="s">
        <v>16</v>
      </c>
      <c r="D62" s="6" t="s">
        <v>77</v>
      </c>
      <c r="E62" s="5" t="s">
        <v>22</v>
      </c>
      <c r="F62" s="63">
        <v>200</v>
      </c>
      <c r="G62" s="4">
        <v>25.22</v>
      </c>
      <c r="H62" s="4">
        <v>25.06</v>
      </c>
      <c r="I62" s="4">
        <f t="shared" si="10"/>
        <v>50.28</v>
      </c>
      <c r="J62" s="28">
        <f t="shared" si="11"/>
        <v>10056</v>
      </c>
    </row>
    <row r="63" spans="1:53" s="51" customFormat="1">
      <c r="A63"/>
      <c r="B63" s="61"/>
      <c r="C63" s="61"/>
      <c r="D63" s="58" t="s">
        <v>78</v>
      </c>
      <c r="E63" s="58"/>
      <c r="F63" s="58"/>
      <c r="G63" s="58"/>
      <c r="H63" s="58"/>
      <c r="I63" s="58"/>
      <c r="J63" s="68"/>
      <c r="K63" s="32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53" s="9" customFormat="1">
      <c r="A64"/>
      <c r="B64" s="64" t="s">
        <v>79</v>
      </c>
      <c r="C64" s="5" t="s">
        <v>25</v>
      </c>
      <c r="D64" s="65" t="s">
        <v>80</v>
      </c>
      <c r="E64" s="5" t="s">
        <v>22</v>
      </c>
      <c r="F64" s="63">
        <f>'Memorial de Cálculo'!E37+'Memorial de Cálculo'!Q89</f>
        <v>593.31419999999991</v>
      </c>
      <c r="G64" s="4">
        <v>20.45</v>
      </c>
      <c r="H64" s="4"/>
      <c r="I64" s="4"/>
      <c r="J64" s="28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53" customFormat="1">
      <c r="A65" s="69"/>
      <c r="B65" s="70">
        <v>98672</v>
      </c>
      <c r="C65" s="70" t="s">
        <v>16</v>
      </c>
      <c r="D65" s="71" t="s">
        <v>81</v>
      </c>
      <c r="E65" s="5" t="s">
        <v>22</v>
      </c>
      <c r="F65" s="72">
        <v>100</v>
      </c>
      <c r="G65" s="73">
        <v>496.17</v>
      </c>
      <c r="H65" s="73">
        <v>29.93</v>
      </c>
      <c r="I65" s="4">
        <f t="shared" si="10"/>
        <v>526.1</v>
      </c>
      <c r="J65" s="28">
        <f t="shared" si="11"/>
        <v>52610</v>
      </c>
    </row>
    <row r="66" spans="1:53" s="53" customFormat="1">
      <c r="A66" s="69"/>
      <c r="B66" s="70">
        <v>98685</v>
      </c>
      <c r="C66" s="70" t="s">
        <v>16</v>
      </c>
      <c r="D66" s="71" t="s">
        <v>82</v>
      </c>
      <c r="E66" s="73" t="s">
        <v>18</v>
      </c>
      <c r="F66" s="72">
        <v>100</v>
      </c>
      <c r="G66" s="73">
        <v>70.349999999999994</v>
      </c>
      <c r="H66" s="73">
        <v>7.52</v>
      </c>
      <c r="I66" s="4">
        <f t="shared" si="10"/>
        <v>77.86999999999999</v>
      </c>
      <c r="J66" s="28">
        <f t="shared" si="11"/>
        <v>7786.9999999999991</v>
      </c>
    </row>
    <row r="67" spans="1:53">
      <c r="B67" s="83" t="s">
        <v>83</v>
      </c>
      <c r="C67" s="70" t="s">
        <v>68</v>
      </c>
      <c r="D67" s="71" t="s">
        <v>84</v>
      </c>
      <c r="E67" s="70" t="s">
        <v>22</v>
      </c>
      <c r="F67" s="72">
        <f>'Memorial de Cálculo'!Q89+'Memorial de Cálculo'!W89</f>
        <v>171.27681999999999</v>
      </c>
      <c r="G67" s="73">
        <v>29.85</v>
      </c>
      <c r="H67" s="73"/>
      <c r="I67" s="73">
        <f t="shared" si="10"/>
        <v>29.85</v>
      </c>
      <c r="J67" s="77">
        <f t="shared" si="11"/>
        <v>5112.613077</v>
      </c>
    </row>
    <row r="68" spans="1:53">
      <c r="B68" s="70">
        <v>120202</v>
      </c>
      <c r="C68" s="70" t="s">
        <v>68</v>
      </c>
      <c r="D68" s="74" t="s">
        <v>85</v>
      </c>
      <c r="E68" s="70" t="s">
        <v>22</v>
      </c>
      <c r="F68" s="75">
        <f>'Memorial de Cálculo'!W89</f>
        <v>137.17452</v>
      </c>
      <c r="G68" s="73">
        <v>200.42</v>
      </c>
      <c r="H68" s="73"/>
      <c r="I68" s="73">
        <f t="shared" si="10"/>
        <v>200.42</v>
      </c>
      <c r="J68" s="77">
        <f t="shared" si="11"/>
        <v>27492.517298399998</v>
      </c>
    </row>
    <row r="69" spans="1:53" s="9" customFormat="1" ht="38.25">
      <c r="A69"/>
      <c r="B69" s="5">
        <v>87259</v>
      </c>
      <c r="C69" s="5" t="s">
        <v>16</v>
      </c>
      <c r="D69" s="6" t="s">
        <v>86</v>
      </c>
      <c r="E69" s="5" t="s">
        <v>22</v>
      </c>
      <c r="F69" s="63">
        <f>'Memorial de Cálculo'!Q89</f>
        <v>34.1023</v>
      </c>
      <c r="G69" s="4">
        <v>98.21</v>
      </c>
      <c r="H69" s="4">
        <v>17.16</v>
      </c>
      <c r="I69" s="4">
        <f t="shared" si="10"/>
        <v>115.36999999999999</v>
      </c>
      <c r="J69" s="28">
        <f t="shared" si="11"/>
        <v>3934.3823509999997</v>
      </c>
    </row>
    <row r="70" spans="1:53" s="51" customFormat="1" ht="14.1" customHeight="1">
      <c r="A70"/>
      <c r="B70" s="58"/>
      <c r="C70" s="58"/>
      <c r="D70" s="58" t="s">
        <v>87</v>
      </c>
      <c r="E70" s="58"/>
      <c r="F70" s="58"/>
      <c r="G70" s="58"/>
      <c r="H70" s="58"/>
      <c r="I70" s="58"/>
      <c r="J70" s="68"/>
      <c r="K70" s="32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53" s="53" customFormat="1" ht="38.25">
      <c r="A71" s="69"/>
      <c r="B71" s="73">
        <v>102244</v>
      </c>
      <c r="C71" s="73" t="s">
        <v>16</v>
      </c>
      <c r="D71" s="71" t="s">
        <v>88</v>
      </c>
      <c r="E71" s="5" t="s">
        <v>22</v>
      </c>
      <c r="F71" s="73">
        <f>(((1.3+1.04+1.8)*1.8)-(1.5*1.8))*2</f>
        <v>9.5039999999999996</v>
      </c>
      <c r="G71" s="73">
        <f>0.12+687.75</f>
        <v>687.87</v>
      </c>
      <c r="H71" s="73">
        <f>56.37+0.1</f>
        <v>56.47</v>
      </c>
      <c r="I71" s="4">
        <f t="shared" ref="I71:I74" si="12">G71+H71</f>
        <v>744.34</v>
      </c>
      <c r="J71" s="28">
        <f t="shared" ref="J71:J74" si="13">F71*I71</f>
        <v>7074.2073600000003</v>
      </c>
    </row>
    <row r="72" spans="1:53" s="53" customFormat="1">
      <c r="A72" s="69"/>
      <c r="B72" s="73">
        <v>101965</v>
      </c>
      <c r="C72" s="73" t="s">
        <v>16</v>
      </c>
      <c r="D72" s="71" t="s">
        <v>89</v>
      </c>
      <c r="E72" s="73" t="s">
        <v>18</v>
      </c>
      <c r="F72" s="73">
        <f>'Memorial de Cálculo'!E75</f>
        <v>37.520000000000003</v>
      </c>
      <c r="G72" s="73">
        <f>0.03+106.36</f>
        <v>106.39</v>
      </c>
      <c r="H72" s="73">
        <f>17.15+0.04</f>
        <v>17.189999999999998</v>
      </c>
      <c r="I72" s="4">
        <f t="shared" si="12"/>
        <v>123.58</v>
      </c>
      <c r="J72" s="28">
        <f t="shared" si="13"/>
        <v>4636.7216000000008</v>
      </c>
    </row>
    <row r="73" spans="1:53" s="53" customFormat="1" ht="25.5">
      <c r="A73" s="69"/>
      <c r="B73" s="73">
        <v>86903</v>
      </c>
      <c r="C73" s="73" t="s">
        <v>16</v>
      </c>
      <c r="D73" s="71" t="s">
        <v>90</v>
      </c>
      <c r="E73" s="73" t="s">
        <v>29</v>
      </c>
      <c r="F73" s="73">
        <v>2</v>
      </c>
      <c r="G73" s="73">
        <v>326.86</v>
      </c>
      <c r="H73" s="73">
        <v>36.11</v>
      </c>
      <c r="I73" s="4">
        <f t="shared" si="12"/>
        <v>362.97</v>
      </c>
      <c r="J73" s="28">
        <f t="shared" si="13"/>
        <v>725.94</v>
      </c>
    </row>
    <row r="74" spans="1:53" s="53" customFormat="1" ht="25.5">
      <c r="A74" s="69"/>
      <c r="B74" s="73">
        <v>86874</v>
      </c>
      <c r="C74" s="73" t="s">
        <v>16</v>
      </c>
      <c r="D74" s="71" t="s">
        <v>91</v>
      </c>
      <c r="E74" s="73" t="s">
        <v>29</v>
      </c>
      <c r="F74" s="73">
        <v>2</v>
      </c>
      <c r="G74" s="73">
        <v>502.3</v>
      </c>
      <c r="H74" s="73">
        <v>20</v>
      </c>
      <c r="I74" s="4">
        <f t="shared" si="12"/>
        <v>522.29999999999995</v>
      </c>
      <c r="J74" s="28">
        <f t="shared" si="13"/>
        <v>1044.5999999999999</v>
      </c>
    </row>
    <row r="75" spans="1:53" s="51" customFormat="1">
      <c r="A75"/>
      <c r="B75" s="61"/>
      <c r="C75" s="61"/>
      <c r="D75" s="58" t="s">
        <v>92</v>
      </c>
      <c r="E75" s="58"/>
      <c r="F75" s="58"/>
      <c r="G75" s="58"/>
      <c r="H75" s="58"/>
      <c r="I75" s="58"/>
      <c r="J75" s="68"/>
      <c r="K75" s="32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53" s="9" customFormat="1">
      <c r="A76"/>
      <c r="B76" s="5" t="s">
        <v>93</v>
      </c>
      <c r="C76" s="5" t="s">
        <v>68</v>
      </c>
      <c r="D76" s="6" t="s">
        <v>94</v>
      </c>
      <c r="E76" s="5" t="s">
        <v>29</v>
      </c>
      <c r="F76" s="73">
        <v>1</v>
      </c>
      <c r="G76" s="4">
        <v>236.71</v>
      </c>
      <c r="H76" s="4"/>
      <c r="I76" s="4"/>
      <c r="J76" s="28"/>
      <c r="K76"/>
      <c r="L76"/>
      <c r="M76"/>
      <c r="N76"/>
      <c r="O76"/>
    </row>
    <row r="77" spans="1:53" s="9" customFormat="1" ht="25.5">
      <c r="A77"/>
      <c r="B77" s="5">
        <v>100858</v>
      </c>
      <c r="C77" s="5" t="s">
        <v>16</v>
      </c>
      <c r="D77" s="6" t="s">
        <v>95</v>
      </c>
      <c r="E77" s="5" t="s">
        <v>29</v>
      </c>
      <c r="F77" s="4">
        <v>1</v>
      </c>
      <c r="G77" s="4">
        <v>604.13</v>
      </c>
      <c r="H77" s="4">
        <v>23.72</v>
      </c>
      <c r="I77" s="4">
        <f t="shared" ref="I77:I85" si="14">G77+H77</f>
        <v>627.85</v>
      </c>
      <c r="J77" s="28">
        <f t="shared" ref="J77:J85" si="15">F77*I77</f>
        <v>627.85</v>
      </c>
    </row>
    <row r="78" spans="1:53" s="9" customFormat="1">
      <c r="A78"/>
      <c r="B78" s="5">
        <v>80580</v>
      </c>
      <c r="C78" s="5" t="s">
        <v>96</v>
      </c>
      <c r="D78" s="6" t="s">
        <v>97</v>
      </c>
      <c r="E78" s="5" t="s">
        <v>29</v>
      </c>
      <c r="F78" s="4">
        <v>12</v>
      </c>
      <c r="G78" s="4">
        <v>79.5</v>
      </c>
      <c r="H78" s="4"/>
      <c r="I78" s="4">
        <f t="shared" si="14"/>
        <v>79.5</v>
      </c>
      <c r="J78" s="28">
        <f t="shared" si="15"/>
        <v>954</v>
      </c>
    </row>
    <row r="79" spans="1:53" s="9" customFormat="1">
      <c r="A79"/>
      <c r="B79" s="5">
        <v>86883</v>
      </c>
      <c r="C79" s="5" t="s">
        <v>16</v>
      </c>
      <c r="D79" s="6" t="s">
        <v>98</v>
      </c>
      <c r="E79" s="5" t="s">
        <v>29</v>
      </c>
      <c r="F79" s="4">
        <v>12</v>
      </c>
      <c r="G79" s="4">
        <v>9.67</v>
      </c>
      <c r="H79" s="4">
        <v>1.95</v>
      </c>
      <c r="I79" s="4">
        <f t="shared" si="14"/>
        <v>11.62</v>
      </c>
      <c r="J79" s="28">
        <f t="shared" si="15"/>
        <v>139.44</v>
      </c>
    </row>
    <row r="80" spans="1:53" s="9" customFormat="1">
      <c r="A80"/>
      <c r="B80" s="5"/>
      <c r="C80" s="5" t="s">
        <v>99</v>
      </c>
      <c r="D80" s="6" t="s">
        <v>100</v>
      </c>
      <c r="E80" s="5" t="s">
        <v>29</v>
      </c>
      <c r="F80" s="4">
        <v>9</v>
      </c>
      <c r="G80" s="4">
        <v>48.9</v>
      </c>
      <c r="H80" s="4"/>
      <c r="I80" s="4"/>
      <c r="J80" s="28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>
      <c r="B81" s="5"/>
      <c r="C81" s="5" t="s">
        <v>99</v>
      </c>
      <c r="D81" s="6" t="s">
        <v>101</v>
      </c>
      <c r="E81" s="5" t="s">
        <v>29</v>
      </c>
      <c r="F81" s="4">
        <v>8</v>
      </c>
      <c r="G81" s="4">
        <v>55</v>
      </c>
      <c r="H81" s="4"/>
      <c r="I81" s="4"/>
      <c r="J81" s="28"/>
    </row>
    <row r="82" spans="1:53" s="9" customFormat="1" ht="25.5">
      <c r="A82"/>
      <c r="B82" s="5" t="s">
        <v>102</v>
      </c>
      <c r="C82" s="5" t="s">
        <v>16</v>
      </c>
      <c r="D82" s="6" t="s">
        <v>103</v>
      </c>
      <c r="E82" s="5" t="s">
        <v>29</v>
      </c>
      <c r="F82" s="4">
        <v>24</v>
      </c>
      <c r="G82" s="4">
        <v>6.58</v>
      </c>
      <c r="H82" s="4">
        <v>3.53</v>
      </c>
      <c r="I82" s="4">
        <f t="shared" si="14"/>
        <v>10.11</v>
      </c>
      <c r="J82" s="28">
        <f t="shared" si="15"/>
        <v>242.64</v>
      </c>
    </row>
    <row r="83" spans="1:53" s="9" customFormat="1" ht="25.5">
      <c r="A83"/>
      <c r="B83" s="5">
        <v>20140</v>
      </c>
      <c r="C83" s="5" t="s">
        <v>96</v>
      </c>
      <c r="D83" s="6" t="s">
        <v>104</v>
      </c>
      <c r="E83" s="5" t="s">
        <v>29</v>
      </c>
      <c r="F83" s="4">
        <v>50</v>
      </c>
      <c r="G83" s="4">
        <v>3.96</v>
      </c>
      <c r="H83" s="4"/>
      <c r="I83" s="4">
        <f t="shared" si="14"/>
        <v>3.96</v>
      </c>
      <c r="J83" s="28">
        <f t="shared" si="15"/>
        <v>198</v>
      </c>
    </row>
    <row r="84" spans="1:53" s="9" customFormat="1">
      <c r="A84"/>
      <c r="B84" s="5">
        <v>80925</v>
      </c>
      <c r="C84" s="5" t="s">
        <v>96</v>
      </c>
      <c r="D84" s="6" t="s">
        <v>105</v>
      </c>
      <c r="E84" s="5" t="s">
        <v>29</v>
      </c>
      <c r="F84" s="4">
        <v>5</v>
      </c>
      <c r="G84" s="4">
        <v>91.21</v>
      </c>
      <c r="H84" s="4"/>
      <c r="I84" s="4">
        <f t="shared" si="14"/>
        <v>91.21</v>
      </c>
      <c r="J84" s="28">
        <f t="shared" si="15"/>
        <v>456.04999999999995</v>
      </c>
    </row>
    <row r="85" spans="1:53" s="9" customFormat="1">
      <c r="A85"/>
      <c r="B85" s="5">
        <v>82926</v>
      </c>
      <c r="C85" s="5" t="s">
        <v>96</v>
      </c>
      <c r="D85" s="6" t="s">
        <v>106</v>
      </c>
      <c r="E85" s="5" t="s">
        <v>29</v>
      </c>
      <c r="F85" s="4">
        <v>5</v>
      </c>
      <c r="G85" s="4">
        <v>103.34</v>
      </c>
      <c r="H85" s="4"/>
      <c r="I85" s="4">
        <f t="shared" si="14"/>
        <v>103.34</v>
      </c>
      <c r="J85" s="28">
        <f t="shared" si="15"/>
        <v>516.70000000000005</v>
      </c>
    </row>
    <row r="86" spans="1:53" s="9" customFormat="1">
      <c r="A86"/>
      <c r="B86" s="5" t="s">
        <v>107</v>
      </c>
      <c r="C86" s="5" t="s">
        <v>68</v>
      </c>
      <c r="D86" s="6" t="s">
        <v>108</v>
      </c>
      <c r="E86" s="5" t="s">
        <v>29</v>
      </c>
      <c r="F86" s="4">
        <v>5</v>
      </c>
      <c r="G86" s="4">
        <v>94.96</v>
      </c>
      <c r="H86" s="4"/>
      <c r="I86" s="4"/>
      <c r="J86" s="28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3" s="9" customFormat="1" ht="25.5">
      <c r="A87"/>
      <c r="B87" s="5" t="s">
        <v>109</v>
      </c>
      <c r="C87" s="5" t="s">
        <v>16</v>
      </c>
      <c r="D87" s="6" t="s">
        <v>110</v>
      </c>
      <c r="E87" s="5" t="s">
        <v>29</v>
      </c>
      <c r="F87" s="4">
        <v>8</v>
      </c>
      <c r="G87" s="4">
        <v>163.72</v>
      </c>
      <c r="H87" s="4">
        <v>2.2000000000000002</v>
      </c>
      <c r="I87" s="4">
        <f t="shared" ref="I87:I93" si="16">G87+H87</f>
        <v>165.92</v>
      </c>
      <c r="J87" s="28">
        <f t="shared" ref="J87:J91" si="17">F87*I87</f>
        <v>1327.36</v>
      </c>
    </row>
    <row r="88" spans="1:53" s="9" customFormat="1" ht="25.5">
      <c r="A88"/>
      <c r="B88" s="5" t="s">
        <v>111</v>
      </c>
      <c r="C88" s="5" t="s">
        <v>16</v>
      </c>
      <c r="D88" s="6" t="s">
        <v>112</v>
      </c>
      <c r="E88" s="5" t="s">
        <v>29</v>
      </c>
      <c r="F88" s="4">
        <v>2</v>
      </c>
      <c r="G88" s="4">
        <v>146.09</v>
      </c>
      <c r="H88" s="4">
        <v>3.84</v>
      </c>
      <c r="I88" s="4">
        <f t="shared" si="16"/>
        <v>149.93</v>
      </c>
      <c r="J88" s="28">
        <f t="shared" si="17"/>
        <v>299.86</v>
      </c>
    </row>
    <row r="89" spans="1:53" s="9" customFormat="1">
      <c r="A89"/>
      <c r="B89" s="5">
        <v>190029</v>
      </c>
      <c r="C89" s="5" t="s">
        <v>68</v>
      </c>
      <c r="D89" s="6" t="s">
        <v>113</v>
      </c>
      <c r="E89" s="5" t="s">
        <v>29</v>
      </c>
      <c r="F89" s="4">
        <v>8</v>
      </c>
      <c r="G89" s="4">
        <v>260.93</v>
      </c>
      <c r="H89" s="4"/>
      <c r="I89" s="4"/>
      <c r="J89" s="28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:53" s="9" customFormat="1" ht="25.5">
      <c r="A90"/>
      <c r="B90" s="5" t="s">
        <v>114</v>
      </c>
      <c r="C90" s="5" t="s">
        <v>16</v>
      </c>
      <c r="D90" s="6" t="s">
        <v>115</v>
      </c>
      <c r="E90" s="5" t="s">
        <v>116</v>
      </c>
      <c r="F90" s="4">
        <v>50</v>
      </c>
      <c r="G90" s="4">
        <v>13.27</v>
      </c>
      <c r="H90" s="4"/>
      <c r="I90" s="4">
        <v>13.27</v>
      </c>
      <c r="J90" s="28">
        <f t="shared" si="17"/>
        <v>663.5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:53" s="9" customFormat="1" ht="25.5">
      <c r="A91"/>
      <c r="B91" s="5" t="s">
        <v>117</v>
      </c>
      <c r="C91" s="5" t="s">
        <v>16</v>
      </c>
      <c r="D91" s="6" t="s">
        <v>118</v>
      </c>
      <c r="E91" s="5" t="s">
        <v>29</v>
      </c>
      <c r="F91" s="4">
        <v>2</v>
      </c>
      <c r="G91" s="4">
        <v>59.16</v>
      </c>
      <c r="H91" s="4">
        <v>3.51</v>
      </c>
      <c r="I91" s="4">
        <f t="shared" si="16"/>
        <v>62.669999999999995</v>
      </c>
      <c r="J91" s="28">
        <f t="shared" si="17"/>
        <v>125.33999999999999</v>
      </c>
    </row>
    <row r="92" spans="1:53" s="9" customFormat="1" ht="25.5">
      <c r="A92"/>
      <c r="B92" s="5">
        <v>90443</v>
      </c>
      <c r="C92" s="5" t="s">
        <v>16</v>
      </c>
      <c r="D92" s="6" t="s">
        <v>119</v>
      </c>
      <c r="E92" s="5" t="s">
        <v>18</v>
      </c>
      <c r="F92" s="4">
        <v>50</v>
      </c>
      <c r="G92" s="4">
        <v>2.75</v>
      </c>
      <c r="H92" s="4">
        <v>9.64</v>
      </c>
      <c r="I92" s="4">
        <f t="shared" si="16"/>
        <v>12.39</v>
      </c>
      <c r="J92" s="28">
        <f t="shared" ref="J92:J94" si="18">F92*I92</f>
        <v>619.5</v>
      </c>
    </row>
    <row r="93" spans="1:53" s="9" customFormat="1" ht="25.5">
      <c r="A93"/>
      <c r="B93" s="70" t="s">
        <v>120</v>
      </c>
      <c r="C93" s="70" t="s">
        <v>16</v>
      </c>
      <c r="D93" s="71" t="s">
        <v>121</v>
      </c>
      <c r="E93" s="70" t="s">
        <v>29</v>
      </c>
      <c r="F93" s="73">
        <v>8</v>
      </c>
      <c r="G93" s="73">
        <v>341.94</v>
      </c>
      <c r="H93" s="73">
        <v>21.92</v>
      </c>
      <c r="I93" s="73">
        <f t="shared" si="16"/>
        <v>363.86</v>
      </c>
      <c r="J93" s="77">
        <f t="shared" si="18"/>
        <v>2910.88</v>
      </c>
    </row>
    <row r="94" spans="1:53" s="9" customFormat="1">
      <c r="A94"/>
      <c r="B94" s="5">
        <v>39961</v>
      </c>
      <c r="C94" s="5" t="s">
        <v>16</v>
      </c>
      <c r="D94" s="6" t="s">
        <v>122</v>
      </c>
      <c r="E94" s="5" t="s">
        <v>29</v>
      </c>
      <c r="F94" s="4">
        <v>10</v>
      </c>
      <c r="G94" s="4">
        <v>23.96</v>
      </c>
      <c r="H94" s="4"/>
      <c r="I94" s="4">
        <v>23.96</v>
      </c>
      <c r="J94" s="77">
        <f t="shared" si="18"/>
        <v>239.60000000000002</v>
      </c>
    </row>
    <row r="95" spans="1:53" s="51" customFormat="1">
      <c r="A95"/>
      <c r="B95" s="61"/>
      <c r="C95" s="61"/>
      <c r="D95" s="58" t="s">
        <v>123</v>
      </c>
      <c r="E95" s="4"/>
      <c r="F95" s="4"/>
      <c r="G95" s="4"/>
      <c r="H95" s="4"/>
      <c r="I95" s="4"/>
      <c r="J95" s="31"/>
      <c r="K95" s="32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53" s="9" customFormat="1" ht="25.5">
      <c r="A96"/>
      <c r="B96" s="76">
        <v>89401</v>
      </c>
      <c r="C96" s="70" t="s">
        <v>16</v>
      </c>
      <c r="D96" s="71" t="s">
        <v>124</v>
      </c>
      <c r="E96" s="70" t="s">
        <v>18</v>
      </c>
      <c r="F96" s="70">
        <v>60</v>
      </c>
      <c r="G96" s="70">
        <v>6.38</v>
      </c>
      <c r="H96" s="70">
        <v>4.3899999999999997</v>
      </c>
      <c r="I96" s="73">
        <f t="shared" ref="I96:I133" si="19">G96+H96</f>
        <v>10.77</v>
      </c>
      <c r="J96" s="77">
        <f t="shared" ref="J96:J133" si="20">F96*I96</f>
        <v>646.19999999999993</v>
      </c>
    </row>
    <row r="97" spans="1:10" s="9" customFormat="1" ht="25.5">
      <c r="A97"/>
      <c r="B97" s="70">
        <v>89446</v>
      </c>
      <c r="C97" s="70" t="s">
        <v>16</v>
      </c>
      <c r="D97" s="71" t="s">
        <v>125</v>
      </c>
      <c r="E97" s="70" t="s">
        <v>18</v>
      </c>
      <c r="F97" s="73">
        <v>60</v>
      </c>
      <c r="G97" s="73">
        <v>5.71</v>
      </c>
      <c r="H97" s="73">
        <v>0.61</v>
      </c>
      <c r="I97" s="73">
        <f t="shared" si="19"/>
        <v>6.32</v>
      </c>
      <c r="J97" s="77">
        <f t="shared" si="20"/>
        <v>379.20000000000005</v>
      </c>
    </row>
    <row r="98" spans="1:10" s="9" customFormat="1" ht="25.5">
      <c r="A98"/>
      <c r="B98" s="70">
        <v>89447</v>
      </c>
      <c r="C98" s="70" t="s">
        <v>16</v>
      </c>
      <c r="D98" s="71" t="s">
        <v>126</v>
      </c>
      <c r="E98" s="70" t="s">
        <v>18</v>
      </c>
      <c r="F98" s="73">
        <v>60</v>
      </c>
      <c r="G98" s="73">
        <v>12.14</v>
      </c>
      <c r="H98" s="73">
        <v>0.73</v>
      </c>
      <c r="I98" s="73">
        <f t="shared" si="19"/>
        <v>12.870000000000001</v>
      </c>
      <c r="J98" s="77">
        <f t="shared" si="20"/>
        <v>772.2</v>
      </c>
    </row>
    <row r="99" spans="1:10" s="53" customFormat="1" ht="25.5">
      <c r="A99" s="69"/>
      <c r="B99" s="70" t="s">
        <v>127</v>
      </c>
      <c r="C99" s="70" t="s">
        <v>16</v>
      </c>
      <c r="D99" s="71" t="s">
        <v>128</v>
      </c>
      <c r="E99" s="70" t="s">
        <v>18</v>
      </c>
      <c r="F99" s="73">
        <v>60</v>
      </c>
      <c r="G99" s="73">
        <v>20.82</v>
      </c>
      <c r="H99" s="73">
        <v>1.08</v>
      </c>
      <c r="I99" s="73">
        <f t="shared" si="19"/>
        <v>21.9</v>
      </c>
      <c r="J99" s="77">
        <f t="shared" si="20"/>
        <v>1314</v>
      </c>
    </row>
    <row r="100" spans="1:10" s="53" customFormat="1" ht="25.5">
      <c r="A100" s="69"/>
      <c r="B100" s="70" t="s">
        <v>129</v>
      </c>
      <c r="C100" s="70" t="s">
        <v>16</v>
      </c>
      <c r="D100" s="71" t="s">
        <v>130</v>
      </c>
      <c r="E100" s="70" t="s">
        <v>18</v>
      </c>
      <c r="F100" s="73">
        <v>60</v>
      </c>
      <c r="G100" s="73">
        <v>34.07</v>
      </c>
      <c r="H100" s="73">
        <v>1.26</v>
      </c>
      <c r="I100" s="73">
        <f t="shared" si="19"/>
        <v>35.33</v>
      </c>
      <c r="J100" s="77">
        <f t="shared" si="20"/>
        <v>2119.7999999999997</v>
      </c>
    </row>
    <row r="101" spans="1:10" s="53" customFormat="1" ht="25.5">
      <c r="A101" s="69"/>
      <c r="B101" s="76">
        <v>89358</v>
      </c>
      <c r="C101" s="70" t="s">
        <v>16</v>
      </c>
      <c r="D101" s="71" t="s">
        <v>131</v>
      </c>
      <c r="E101" s="70" t="s">
        <v>29</v>
      </c>
      <c r="F101" s="70">
        <v>25</v>
      </c>
      <c r="G101" s="70">
        <v>2.91</v>
      </c>
      <c r="H101" s="70">
        <v>4.24</v>
      </c>
      <c r="I101" s="73">
        <f t="shared" si="19"/>
        <v>7.15</v>
      </c>
      <c r="J101" s="77">
        <f t="shared" si="20"/>
        <v>178.75</v>
      </c>
    </row>
    <row r="102" spans="1:10" s="53" customFormat="1" ht="25.5">
      <c r="A102" s="69"/>
      <c r="B102" s="70" t="s">
        <v>132</v>
      </c>
      <c r="C102" s="70" t="s">
        <v>16</v>
      </c>
      <c r="D102" s="71" t="s">
        <v>133</v>
      </c>
      <c r="E102" s="70" t="s">
        <v>29</v>
      </c>
      <c r="F102" s="73">
        <v>25</v>
      </c>
      <c r="G102" s="73">
        <v>2.75</v>
      </c>
      <c r="H102" s="73">
        <v>2.2599999999999998</v>
      </c>
      <c r="I102" s="73">
        <f t="shared" si="19"/>
        <v>5.01</v>
      </c>
      <c r="J102" s="77">
        <f t="shared" si="20"/>
        <v>125.25</v>
      </c>
    </row>
    <row r="103" spans="1:10" s="53" customFormat="1" ht="25.5">
      <c r="A103" s="69"/>
      <c r="B103" s="70">
        <v>89492</v>
      </c>
      <c r="C103" s="70" t="s">
        <v>16</v>
      </c>
      <c r="D103" s="71" t="s">
        <v>134</v>
      </c>
      <c r="E103" s="70" t="s">
        <v>29</v>
      </c>
      <c r="F103" s="73">
        <v>25</v>
      </c>
      <c r="G103" s="73">
        <v>5.41</v>
      </c>
      <c r="H103" s="73">
        <v>2.76</v>
      </c>
      <c r="I103" s="73">
        <f t="shared" si="19"/>
        <v>8.17</v>
      </c>
      <c r="J103" s="77">
        <f t="shared" si="20"/>
        <v>204.25</v>
      </c>
    </row>
    <row r="104" spans="1:10" s="53" customFormat="1" ht="25.5">
      <c r="A104" s="69"/>
      <c r="B104" s="70" t="s">
        <v>135</v>
      </c>
      <c r="C104" s="70" t="s">
        <v>16</v>
      </c>
      <c r="D104" s="71" t="s">
        <v>136</v>
      </c>
      <c r="E104" s="70" t="s">
        <v>29</v>
      </c>
      <c r="F104" s="73">
        <v>25</v>
      </c>
      <c r="G104" s="73">
        <v>10.39</v>
      </c>
      <c r="H104" s="73">
        <v>4.07</v>
      </c>
      <c r="I104" s="73">
        <f t="shared" si="19"/>
        <v>14.46</v>
      </c>
      <c r="J104" s="77">
        <f t="shared" si="20"/>
        <v>361.5</v>
      </c>
    </row>
    <row r="105" spans="1:10" s="53" customFormat="1" ht="25.5">
      <c r="A105" s="69"/>
      <c r="B105" s="76">
        <v>89359</v>
      </c>
      <c r="C105" s="70" t="s">
        <v>16</v>
      </c>
      <c r="D105" s="71" t="s">
        <v>137</v>
      </c>
      <c r="E105" s="70" t="s">
        <v>29</v>
      </c>
      <c r="F105" s="70">
        <v>25</v>
      </c>
      <c r="G105" s="70">
        <v>3.6</v>
      </c>
      <c r="H105" s="70">
        <v>4.2300000000000004</v>
      </c>
      <c r="I105" s="73">
        <f t="shared" si="19"/>
        <v>7.83</v>
      </c>
      <c r="J105" s="77">
        <f t="shared" si="20"/>
        <v>195.75</v>
      </c>
    </row>
    <row r="106" spans="1:10" s="53" customFormat="1" ht="25.5">
      <c r="A106" s="69"/>
      <c r="B106" s="76">
        <v>89363</v>
      </c>
      <c r="C106" s="70" t="s">
        <v>16</v>
      </c>
      <c r="D106" s="71" t="s">
        <v>138</v>
      </c>
      <c r="E106" s="70" t="s">
        <v>29</v>
      </c>
      <c r="F106" s="70">
        <v>25</v>
      </c>
      <c r="G106" s="70">
        <v>4.6100000000000003</v>
      </c>
      <c r="H106" s="70">
        <v>4.9000000000000004</v>
      </c>
      <c r="I106" s="73">
        <f t="shared" si="19"/>
        <v>9.5100000000000016</v>
      </c>
      <c r="J106" s="77">
        <f t="shared" si="20"/>
        <v>237.75000000000003</v>
      </c>
    </row>
    <row r="107" spans="1:10" s="53" customFormat="1" ht="38.25">
      <c r="A107" s="69"/>
      <c r="B107" s="70">
        <v>90373</v>
      </c>
      <c r="C107" s="70" t="s">
        <v>16</v>
      </c>
      <c r="D107" s="71" t="s">
        <v>139</v>
      </c>
      <c r="E107" s="70" t="s">
        <v>29</v>
      </c>
      <c r="F107" s="73">
        <v>25</v>
      </c>
      <c r="G107" s="73">
        <v>9.11</v>
      </c>
      <c r="H107" s="73">
        <v>4.21</v>
      </c>
      <c r="I107" s="73">
        <f t="shared" si="19"/>
        <v>13.32</v>
      </c>
      <c r="J107" s="77">
        <f t="shared" si="20"/>
        <v>333</v>
      </c>
    </row>
    <row r="108" spans="1:10" s="53" customFormat="1" ht="51">
      <c r="A108" s="69"/>
      <c r="B108" s="70">
        <v>94672</v>
      </c>
      <c r="C108" s="70" t="s">
        <v>16</v>
      </c>
      <c r="D108" s="71" t="s">
        <v>140</v>
      </c>
      <c r="E108" s="70" t="s">
        <v>29</v>
      </c>
      <c r="F108" s="73">
        <v>25</v>
      </c>
      <c r="G108" s="73">
        <v>5.94</v>
      </c>
      <c r="H108" s="73">
        <v>3.86</v>
      </c>
      <c r="I108" s="73">
        <f t="shared" si="19"/>
        <v>9.8000000000000007</v>
      </c>
      <c r="J108" s="77">
        <f t="shared" si="20"/>
        <v>245.00000000000003</v>
      </c>
    </row>
    <row r="109" spans="1:10" s="53" customFormat="1" ht="38.25">
      <c r="A109" s="69"/>
      <c r="B109" s="70" t="s">
        <v>141</v>
      </c>
      <c r="C109" s="70" t="s">
        <v>16</v>
      </c>
      <c r="D109" s="71" t="s">
        <v>142</v>
      </c>
      <c r="E109" s="70" t="s">
        <v>29</v>
      </c>
      <c r="F109" s="73">
        <v>25</v>
      </c>
      <c r="G109" s="73">
        <v>5.75</v>
      </c>
      <c r="H109" s="73">
        <v>4.0599999999999996</v>
      </c>
      <c r="I109" s="73">
        <f t="shared" si="19"/>
        <v>9.8099999999999987</v>
      </c>
      <c r="J109" s="77">
        <f t="shared" si="20"/>
        <v>245.24999999999997</v>
      </c>
    </row>
    <row r="110" spans="1:10" s="53" customFormat="1" ht="25.5">
      <c r="A110" s="69"/>
      <c r="B110" s="70" t="s">
        <v>143</v>
      </c>
      <c r="C110" s="70" t="s">
        <v>16</v>
      </c>
      <c r="D110" s="71" t="s">
        <v>144</v>
      </c>
      <c r="E110" s="70" t="s">
        <v>29</v>
      </c>
      <c r="F110" s="73">
        <v>25</v>
      </c>
      <c r="G110" s="73">
        <v>7.49</v>
      </c>
      <c r="H110" s="73">
        <v>1.68</v>
      </c>
      <c r="I110" s="73">
        <f t="shared" si="19"/>
        <v>9.17</v>
      </c>
      <c r="J110" s="77">
        <f t="shared" si="20"/>
        <v>229.25</v>
      </c>
    </row>
    <row r="111" spans="1:10" s="53" customFormat="1" ht="25.5">
      <c r="A111" s="69"/>
      <c r="B111" s="70" t="s">
        <v>145</v>
      </c>
      <c r="C111" s="70" t="s">
        <v>16</v>
      </c>
      <c r="D111" s="71" t="s">
        <v>146</v>
      </c>
      <c r="E111" s="70" t="s">
        <v>29</v>
      </c>
      <c r="F111" s="73">
        <v>25</v>
      </c>
      <c r="G111" s="73">
        <v>2.6</v>
      </c>
      <c r="H111" s="73">
        <v>1.5</v>
      </c>
      <c r="I111" s="73">
        <f t="shared" si="19"/>
        <v>4.0999999999999996</v>
      </c>
      <c r="J111" s="77">
        <f t="shared" si="20"/>
        <v>102.49999999999999</v>
      </c>
    </row>
    <row r="112" spans="1:10" s="53" customFormat="1" ht="25.5">
      <c r="A112" s="69"/>
      <c r="B112" s="70">
        <v>89575</v>
      </c>
      <c r="C112" s="70" t="s">
        <v>16</v>
      </c>
      <c r="D112" s="71" t="s">
        <v>147</v>
      </c>
      <c r="E112" s="70" t="s">
        <v>29</v>
      </c>
      <c r="F112" s="73">
        <v>25</v>
      </c>
      <c r="G112" s="73">
        <v>9.14</v>
      </c>
      <c r="H112" s="73">
        <v>2.71</v>
      </c>
      <c r="I112" s="73">
        <f t="shared" si="19"/>
        <v>11.850000000000001</v>
      </c>
      <c r="J112" s="77">
        <f t="shared" si="20"/>
        <v>296.25000000000006</v>
      </c>
    </row>
    <row r="113" spans="1:10" s="53" customFormat="1" ht="38.25">
      <c r="A113" s="69"/>
      <c r="B113" s="70">
        <v>89427</v>
      </c>
      <c r="C113" s="70" t="s">
        <v>16</v>
      </c>
      <c r="D113" s="71" t="s">
        <v>148</v>
      </c>
      <c r="E113" s="70" t="s">
        <v>29</v>
      </c>
      <c r="F113" s="73">
        <v>25</v>
      </c>
      <c r="G113" s="73">
        <v>10.130000000000001</v>
      </c>
      <c r="H113" s="73">
        <v>2.7</v>
      </c>
      <c r="I113" s="73">
        <f t="shared" si="19"/>
        <v>12.830000000000002</v>
      </c>
      <c r="J113" s="77">
        <f t="shared" si="20"/>
        <v>320.75000000000006</v>
      </c>
    </row>
    <row r="114" spans="1:10" s="53" customFormat="1" ht="25.5">
      <c r="A114" s="69"/>
      <c r="B114" s="76">
        <v>89371</v>
      </c>
      <c r="C114" s="70" t="s">
        <v>16</v>
      </c>
      <c r="D114" s="71" t="s">
        <v>149</v>
      </c>
      <c r="E114" s="70" t="s">
        <v>29</v>
      </c>
      <c r="F114" s="70">
        <v>25</v>
      </c>
      <c r="G114" s="70">
        <v>2.65</v>
      </c>
      <c r="H114" s="70">
        <v>2.85</v>
      </c>
      <c r="I114" s="73">
        <f t="shared" si="19"/>
        <v>5.5</v>
      </c>
      <c r="J114" s="77">
        <f t="shared" si="20"/>
        <v>137.5</v>
      </c>
    </row>
    <row r="115" spans="1:10" s="53" customFormat="1" ht="25.5">
      <c r="A115" s="69"/>
      <c r="B115" s="76">
        <v>89373</v>
      </c>
      <c r="C115" s="70" t="s">
        <v>16</v>
      </c>
      <c r="D115" s="71" t="s">
        <v>150</v>
      </c>
      <c r="E115" s="70" t="s">
        <v>29</v>
      </c>
      <c r="F115" s="70">
        <v>25</v>
      </c>
      <c r="G115" s="70">
        <v>3.71</v>
      </c>
      <c r="H115" s="70">
        <v>3.04</v>
      </c>
      <c r="I115" s="73">
        <f t="shared" si="19"/>
        <v>6.75</v>
      </c>
      <c r="J115" s="77">
        <f t="shared" si="20"/>
        <v>168.75</v>
      </c>
    </row>
    <row r="116" spans="1:10" s="53" customFormat="1" ht="25.5">
      <c r="A116" s="69"/>
      <c r="B116" s="76">
        <v>89374</v>
      </c>
      <c r="C116" s="70" t="s">
        <v>16</v>
      </c>
      <c r="D116" s="71" t="s">
        <v>151</v>
      </c>
      <c r="E116" s="70" t="s">
        <v>29</v>
      </c>
      <c r="F116" s="70">
        <v>25</v>
      </c>
      <c r="G116" s="70">
        <v>8.19</v>
      </c>
      <c r="H116" s="70">
        <v>2.56</v>
      </c>
      <c r="I116" s="73">
        <f t="shared" si="19"/>
        <v>10.75</v>
      </c>
      <c r="J116" s="77">
        <f t="shared" si="20"/>
        <v>268.75</v>
      </c>
    </row>
    <row r="117" spans="1:10" s="53" customFormat="1" ht="25.5">
      <c r="A117" s="69"/>
      <c r="B117" s="76">
        <v>89379</v>
      </c>
      <c r="C117" s="70" t="s">
        <v>16</v>
      </c>
      <c r="D117" s="71" t="s">
        <v>152</v>
      </c>
      <c r="E117" s="70" t="s">
        <v>29</v>
      </c>
      <c r="F117" s="70">
        <v>25</v>
      </c>
      <c r="G117" s="70">
        <v>17.78</v>
      </c>
      <c r="H117" s="70">
        <v>3.24</v>
      </c>
      <c r="I117" s="73">
        <f t="shared" si="19"/>
        <v>21.020000000000003</v>
      </c>
      <c r="J117" s="77">
        <f t="shared" si="20"/>
        <v>525.50000000000011</v>
      </c>
    </row>
    <row r="118" spans="1:10" s="53" customFormat="1" ht="25.5">
      <c r="A118" s="69"/>
      <c r="B118" s="70">
        <v>89987</v>
      </c>
      <c r="C118" s="70" t="s">
        <v>16</v>
      </c>
      <c r="D118" s="71" t="s">
        <v>153</v>
      </c>
      <c r="E118" s="70" t="s">
        <v>29</v>
      </c>
      <c r="F118" s="73">
        <v>6</v>
      </c>
      <c r="G118" s="73">
        <v>92</v>
      </c>
      <c r="H118" s="73">
        <v>7.08</v>
      </c>
      <c r="I118" s="73">
        <f t="shared" si="19"/>
        <v>99.08</v>
      </c>
      <c r="J118" s="77">
        <f t="shared" si="20"/>
        <v>594.48</v>
      </c>
    </row>
    <row r="119" spans="1:10" s="53" customFormat="1" ht="25.5">
      <c r="A119" s="69"/>
      <c r="B119" s="70">
        <v>89985</v>
      </c>
      <c r="C119" s="70" t="s">
        <v>16</v>
      </c>
      <c r="D119" s="71" t="s">
        <v>154</v>
      </c>
      <c r="E119" s="70" t="s">
        <v>29</v>
      </c>
      <c r="F119" s="73">
        <v>1</v>
      </c>
      <c r="G119" s="73">
        <v>86.91</v>
      </c>
      <c r="H119" s="73">
        <v>7.08</v>
      </c>
      <c r="I119" s="73">
        <f t="shared" si="19"/>
        <v>93.99</v>
      </c>
      <c r="J119" s="77">
        <f t="shared" si="20"/>
        <v>93.99</v>
      </c>
    </row>
    <row r="120" spans="1:10" s="53" customFormat="1" ht="38.25">
      <c r="A120" s="69"/>
      <c r="B120" s="70" t="s">
        <v>155</v>
      </c>
      <c r="C120" s="70" t="s">
        <v>16</v>
      </c>
      <c r="D120" s="71" t="s">
        <v>156</v>
      </c>
      <c r="E120" s="70" t="s">
        <v>29</v>
      </c>
      <c r="F120" s="73">
        <v>6</v>
      </c>
      <c r="G120" s="73">
        <v>2.95</v>
      </c>
      <c r="H120" s="73">
        <v>2.72</v>
      </c>
      <c r="I120" s="73">
        <f t="shared" si="19"/>
        <v>5.67</v>
      </c>
      <c r="J120" s="77">
        <f t="shared" si="20"/>
        <v>34.019999999999996</v>
      </c>
    </row>
    <row r="121" spans="1:10" s="53" customFormat="1" ht="25.5">
      <c r="A121" s="69"/>
      <c r="B121" s="70" t="s">
        <v>157</v>
      </c>
      <c r="C121" s="70" t="s">
        <v>16</v>
      </c>
      <c r="D121" s="71" t="s">
        <v>158</v>
      </c>
      <c r="E121" s="70" t="s">
        <v>29</v>
      </c>
      <c r="F121" s="73">
        <v>10</v>
      </c>
      <c r="G121" s="73">
        <v>7.97</v>
      </c>
      <c r="H121" s="73">
        <v>2.1</v>
      </c>
      <c r="I121" s="73">
        <f t="shared" si="19"/>
        <v>10.07</v>
      </c>
      <c r="J121" s="77">
        <f t="shared" si="20"/>
        <v>100.7</v>
      </c>
    </row>
    <row r="122" spans="1:10" s="53" customFormat="1" ht="51">
      <c r="A122" s="69"/>
      <c r="B122" s="70">
        <v>94785</v>
      </c>
      <c r="C122" s="70" t="s">
        <v>16</v>
      </c>
      <c r="D122" s="71" t="s">
        <v>159</v>
      </c>
      <c r="E122" s="70" t="s">
        <v>29</v>
      </c>
      <c r="F122" s="73">
        <v>10</v>
      </c>
      <c r="G122" s="73">
        <v>17.989999999999998</v>
      </c>
      <c r="H122" s="73">
        <v>7.41</v>
      </c>
      <c r="I122" s="73">
        <f t="shared" si="19"/>
        <v>25.4</v>
      </c>
      <c r="J122" s="77">
        <f t="shared" si="20"/>
        <v>254</v>
      </c>
    </row>
    <row r="123" spans="1:10" s="53" customFormat="1" ht="25.5">
      <c r="A123" s="69"/>
      <c r="B123" s="70" t="s">
        <v>160</v>
      </c>
      <c r="C123" s="70" t="s">
        <v>16</v>
      </c>
      <c r="D123" s="71" t="s">
        <v>161</v>
      </c>
      <c r="E123" s="70" t="s">
        <v>29</v>
      </c>
      <c r="F123" s="73">
        <v>25</v>
      </c>
      <c r="G123" s="73">
        <v>4.12</v>
      </c>
      <c r="H123" s="73">
        <v>3.02</v>
      </c>
      <c r="I123" s="73">
        <f t="shared" si="19"/>
        <v>7.1400000000000006</v>
      </c>
      <c r="J123" s="77">
        <f t="shared" si="20"/>
        <v>178.5</v>
      </c>
    </row>
    <row r="124" spans="1:10" s="53" customFormat="1" ht="25.5">
      <c r="A124" s="69"/>
      <c r="B124" s="70" t="s">
        <v>162</v>
      </c>
      <c r="C124" s="70" t="s">
        <v>16</v>
      </c>
      <c r="D124" s="71" t="s">
        <v>163</v>
      </c>
      <c r="E124" s="70" t="s">
        <v>29</v>
      </c>
      <c r="F124" s="73">
        <v>25</v>
      </c>
      <c r="G124" s="73">
        <v>17.100000000000001</v>
      </c>
      <c r="H124" s="73">
        <v>4.22</v>
      </c>
      <c r="I124" s="73">
        <f t="shared" si="19"/>
        <v>21.32</v>
      </c>
      <c r="J124" s="77">
        <f t="shared" si="20"/>
        <v>533</v>
      </c>
    </row>
    <row r="125" spans="1:10" s="53" customFormat="1" ht="38.25">
      <c r="A125" s="69"/>
      <c r="B125" s="70" t="s">
        <v>164</v>
      </c>
      <c r="C125" s="70" t="s">
        <v>16</v>
      </c>
      <c r="D125" s="71" t="s">
        <v>165</v>
      </c>
      <c r="E125" s="70" t="s">
        <v>29</v>
      </c>
      <c r="F125" s="73">
        <v>25</v>
      </c>
      <c r="G125" s="73">
        <v>15.92</v>
      </c>
      <c r="H125" s="73">
        <v>5.61</v>
      </c>
      <c r="I125" s="73">
        <f t="shared" si="19"/>
        <v>21.53</v>
      </c>
      <c r="J125" s="77">
        <f t="shared" si="20"/>
        <v>538.25</v>
      </c>
    </row>
    <row r="126" spans="1:10" s="53" customFormat="1" ht="51">
      <c r="A126" s="69"/>
      <c r="B126" s="70" t="s">
        <v>166</v>
      </c>
      <c r="C126" s="70" t="s">
        <v>16</v>
      </c>
      <c r="D126" s="71" t="s">
        <v>167</v>
      </c>
      <c r="E126" s="70" t="s">
        <v>29</v>
      </c>
      <c r="F126" s="73">
        <v>25</v>
      </c>
      <c r="G126" s="73">
        <v>9.39</v>
      </c>
      <c r="H126" s="73">
        <v>5.09</v>
      </c>
      <c r="I126" s="73">
        <f t="shared" si="19"/>
        <v>14.48</v>
      </c>
      <c r="J126" s="77">
        <f t="shared" si="20"/>
        <v>362</v>
      </c>
    </row>
    <row r="127" spans="1:10" s="53" customFormat="1" ht="51">
      <c r="A127" s="69"/>
      <c r="B127" s="70" t="s">
        <v>168</v>
      </c>
      <c r="C127" s="70" t="s">
        <v>16</v>
      </c>
      <c r="D127" s="71" t="s">
        <v>159</v>
      </c>
      <c r="E127" s="70" t="s">
        <v>29</v>
      </c>
      <c r="F127" s="73">
        <v>10</v>
      </c>
      <c r="G127" s="73">
        <v>17.989999999999998</v>
      </c>
      <c r="H127" s="73">
        <v>7.41</v>
      </c>
      <c r="I127" s="73">
        <f t="shared" si="19"/>
        <v>25.4</v>
      </c>
      <c r="J127" s="77">
        <f t="shared" si="20"/>
        <v>254</v>
      </c>
    </row>
    <row r="128" spans="1:10" s="53" customFormat="1" ht="51">
      <c r="A128" s="69"/>
      <c r="B128" s="70">
        <v>94703</v>
      </c>
      <c r="C128" s="70" t="s">
        <v>16</v>
      </c>
      <c r="D128" s="71" t="s">
        <v>169</v>
      </c>
      <c r="E128" s="70" t="s">
        <v>29</v>
      </c>
      <c r="F128" s="73">
        <v>10</v>
      </c>
      <c r="G128" s="73">
        <v>18.82</v>
      </c>
      <c r="H128" s="73">
        <v>4.3499999999999996</v>
      </c>
      <c r="I128" s="73">
        <f t="shared" si="19"/>
        <v>23.17</v>
      </c>
      <c r="J128" s="77">
        <f t="shared" si="20"/>
        <v>231.70000000000002</v>
      </c>
    </row>
    <row r="129" spans="1:42" s="53" customFormat="1" ht="25.5">
      <c r="A129" s="69"/>
      <c r="B129" s="70" t="s">
        <v>170</v>
      </c>
      <c r="C129" s="70" t="s">
        <v>16</v>
      </c>
      <c r="D129" s="71" t="s">
        <v>171</v>
      </c>
      <c r="E129" s="70" t="s">
        <v>29</v>
      </c>
      <c r="F129" s="73">
        <v>5</v>
      </c>
      <c r="G129" s="73">
        <v>19.64</v>
      </c>
      <c r="H129" s="73">
        <v>9.82</v>
      </c>
      <c r="I129" s="73">
        <f t="shared" si="19"/>
        <v>29.46</v>
      </c>
      <c r="J129" s="77">
        <f t="shared" si="20"/>
        <v>147.30000000000001</v>
      </c>
    </row>
    <row r="130" spans="1:42" s="53" customFormat="1" ht="25.5">
      <c r="A130" s="69"/>
      <c r="B130" s="70" t="s">
        <v>172</v>
      </c>
      <c r="C130" s="70" t="s">
        <v>16</v>
      </c>
      <c r="D130" s="71" t="s">
        <v>173</v>
      </c>
      <c r="E130" s="70" t="s">
        <v>29</v>
      </c>
      <c r="F130" s="73">
        <v>5</v>
      </c>
      <c r="G130" s="73">
        <v>46.69</v>
      </c>
      <c r="H130" s="73">
        <v>6.4</v>
      </c>
      <c r="I130" s="73">
        <f t="shared" si="19"/>
        <v>53.089999999999996</v>
      </c>
      <c r="J130" s="77">
        <f t="shared" si="20"/>
        <v>265.45</v>
      </c>
    </row>
    <row r="131" spans="1:42" s="53" customFormat="1" ht="25.5">
      <c r="A131" s="69"/>
      <c r="B131" s="70" t="s">
        <v>174</v>
      </c>
      <c r="C131" s="70" t="s">
        <v>16</v>
      </c>
      <c r="D131" s="71" t="s">
        <v>175</v>
      </c>
      <c r="E131" s="70" t="s">
        <v>29</v>
      </c>
      <c r="F131" s="73">
        <v>5</v>
      </c>
      <c r="G131" s="73">
        <v>25</v>
      </c>
      <c r="H131" s="73">
        <v>2.95</v>
      </c>
      <c r="I131" s="73">
        <f t="shared" si="19"/>
        <v>27.95</v>
      </c>
      <c r="J131" s="77">
        <f t="shared" si="20"/>
        <v>139.75</v>
      </c>
    </row>
    <row r="132" spans="1:42" s="52" customFormat="1">
      <c r="A132" s="8"/>
      <c r="B132" s="20">
        <v>81889</v>
      </c>
      <c r="C132" s="20" t="s">
        <v>96</v>
      </c>
      <c r="D132" s="21" t="s">
        <v>176</v>
      </c>
      <c r="E132" s="20" t="s">
        <v>29</v>
      </c>
      <c r="F132" s="15">
        <v>2</v>
      </c>
      <c r="G132" s="15">
        <v>126.76</v>
      </c>
      <c r="H132" s="15"/>
      <c r="I132" s="73">
        <f t="shared" si="19"/>
        <v>126.76</v>
      </c>
      <c r="J132" s="77">
        <f t="shared" si="20"/>
        <v>253.52</v>
      </c>
    </row>
    <row r="133" spans="1:42" s="52" customFormat="1">
      <c r="A133" s="8"/>
      <c r="B133" s="20">
        <v>81890</v>
      </c>
      <c r="C133" s="20" t="s">
        <v>96</v>
      </c>
      <c r="D133" s="21" t="s">
        <v>177</v>
      </c>
      <c r="E133" s="20" t="s">
        <v>29</v>
      </c>
      <c r="F133" s="15">
        <v>2</v>
      </c>
      <c r="G133" s="15">
        <v>251.32</v>
      </c>
      <c r="H133" s="15"/>
      <c r="I133" s="73">
        <f t="shared" si="19"/>
        <v>251.32</v>
      </c>
      <c r="J133" s="77">
        <f t="shared" si="20"/>
        <v>502.64</v>
      </c>
    </row>
    <row r="134" spans="1:42" s="51" customFormat="1">
      <c r="A134"/>
      <c r="B134" s="61"/>
      <c r="C134" s="61"/>
      <c r="D134" s="58" t="s">
        <v>178</v>
      </c>
      <c r="E134" s="4"/>
      <c r="F134" s="4"/>
      <c r="G134" s="4"/>
      <c r="H134" s="4"/>
      <c r="I134" s="4"/>
      <c r="J134" s="31"/>
      <c r="K134" s="32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53" customFormat="1" ht="38.25">
      <c r="A135" s="69"/>
      <c r="B135" s="70">
        <v>99250</v>
      </c>
      <c r="C135" s="70" t="s">
        <v>16</v>
      </c>
      <c r="D135" s="71" t="s">
        <v>179</v>
      </c>
      <c r="E135" s="70" t="s">
        <v>29</v>
      </c>
      <c r="F135" s="73">
        <v>5</v>
      </c>
      <c r="G135" s="73">
        <f>0.35+102.51</f>
        <v>102.86</v>
      </c>
      <c r="H135" s="73">
        <f>67.93+0.13</f>
        <v>68.06</v>
      </c>
      <c r="I135" s="73">
        <f t="shared" ref="I135:I154" si="21">G135+H135</f>
        <v>170.92000000000002</v>
      </c>
      <c r="J135" s="77">
        <f t="shared" ref="J135:J154" si="22">F135*I135</f>
        <v>854.60000000000014</v>
      </c>
    </row>
    <row r="136" spans="1:42" s="53" customFormat="1" ht="38.25">
      <c r="A136" s="69"/>
      <c r="B136" s="70">
        <v>103003</v>
      </c>
      <c r="C136" s="70" t="s">
        <v>16</v>
      </c>
      <c r="D136" s="71" t="s">
        <v>180</v>
      </c>
      <c r="E136" s="70" t="s">
        <v>29</v>
      </c>
      <c r="F136" s="73">
        <v>6</v>
      </c>
      <c r="G136" s="73">
        <v>394.78</v>
      </c>
      <c r="H136" s="73">
        <v>16.510000000000002</v>
      </c>
      <c r="I136" s="73">
        <f t="shared" si="21"/>
        <v>411.28999999999996</v>
      </c>
      <c r="J136" s="77">
        <f t="shared" si="22"/>
        <v>2467.7399999999998</v>
      </c>
    </row>
    <row r="137" spans="1:42" s="53" customFormat="1" ht="25.5">
      <c r="A137" s="69"/>
      <c r="B137" s="70">
        <v>89580</v>
      </c>
      <c r="C137" s="70" t="s">
        <v>16</v>
      </c>
      <c r="D137" s="71" t="s">
        <v>181</v>
      </c>
      <c r="E137" s="70" t="s">
        <v>18</v>
      </c>
      <c r="F137" s="73">
        <v>50</v>
      </c>
      <c r="G137" s="73">
        <v>63.29</v>
      </c>
      <c r="H137" s="73">
        <v>4.18</v>
      </c>
      <c r="I137" s="73">
        <f t="shared" si="21"/>
        <v>67.47</v>
      </c>
      <c r="J137" s="77">
        <f t="shared" si="22"/>
        <v>3373.5</v>
      </c>
    </row>
    <row r="138" spans="1:42" s="53" customFormat="1" ht="25.5">
      <c r="A138" s="69"/>
      <c r="B138" s="70">
        <v>104167</v>
      </c>
      <c r="C138" s="70" t="s">
        <v>16</v>
      </c>
      <c r="D138" s="71" t="s">
        <v>182</v>
      </c>
      <c r="E138" s="70" t="s">
        <v>29</v>
      </c>
      <c r="F138" s="73">
        <v>5</v>
      </c>
      <c r="G138" s="73">
        <v>113.28</v>
      </c>
      <c r="H138" s="73">
        <v>8.32</v>
      </c>
      <c r="I138" s="73">
        <f t="shared" si="21"/>
        <v>121.6</v>
      </c>
      <c r="J138" s="77">
        <f t="shared" si="22"/>
        <v>608</v>
      </c>
    </row>
    <row r="139" spans="1:42" s="53" customFormat="1" ht="25.5">
      <c r="A139" s="69"/>
      <c r="B139" s="70">
        <v>104168</v>
      </c>
      <c r="C139" s="70" t="s">
        <v>16</v>
      </c>
      <c r="D139" s="71" t="s">
        <v>183</v>
      </c>
      <c r="E139" s="70" t="s">
        <v>29</v>
      </c>
      <c r="F139" s="73">
        <v>5</v>
      </c>
      <c r="G139" s="73">
        <v>110.12</v>
      </c>
      <c r="H139" s="73">
        <v>8.32</v>
      </c>
      <c r="I139" s="73">
        <f t="shared" si="21"/>
        <v>118.44</v>
      </c>
      <c r="J139" s="77">
        <f t="shared" si="22"/>
        <v>592.20000000000005</v>
      </c>
    </row>
    <row r="140" spans="1:42" s="53" customFormat="1" ht="25.5">
      <c r="A140" s="69"/>
      <c r="B140" s="70">
        <v>104170</v>
      </c>
      <c r="C140" s="70" t="s">
        <v>16</v>
      </c>
      <c r="D140" s="71" t="s">
        <v>184</v>
      </c>
      <c r="E140" s="70" t="s">
        <v>29</v>
      </c>
      <c r="F140" s="73">
        <v>5</v>
      </c>
      <c r="G140" s="73">
        <v>63.4</v>
      </c>
      <c r="H140" s="73">
        <v>5.55</v>
      </c>
      <c r="I140" s="73">
        <f t="shared" si="21"/>
        <v>68.95</v>
      </c>
      <c r="J140" s="77">
        <f t="shared" si="22"/>
        <v>344.75</v>
      </c>
    </row>
    <row r="141" spans="1:42" s="53" customFormat="1" ht="38.25">
      <c r="A141" s="69"/>
      <c r="B141" s="70">
        <v>104173</v>
      </c>
      <c r="C141" s="70" t="s">
        <v>16</v>
      </c>
      <c r="D141" s="71" t="s">
        <v>185</v>
      </c>
      <c r="E141" s="70" t="s">
        <v>29</v>
      </c>
      <c r="F141" s="73">
        <v>5</v>
      </c>
      <c r="G141" s="73">
        <v>79.31</v>
      </c>
      <c r="H141" s="73">
        <v>4.8499999999999996</v>
      </c>
      <c r="I141" s="73">
        <f t="shared" si="21"/>
        <v>84.16</v>
      </c>
      <c r="J141" s="77">
        <f t="shared" si="22"/>
        <v>420.79999999999995</v>
      </c>
    </row>
    <row r="142" spans="1:42" s="53" customFormat="1" ht="25.5">
      <c r="A142" s="69"/>
      <c r="B142" s="70">
        <v>104172</v>
      </c>
      <c r="C142" s="70" t="s">
        <v>16</v>
      </c>
      <c r="D142" s="71" t="s">
        <v>186</v>
      </c>
      <c r="E142" s="70" t="s">
        <v>29</v>
      </c>
      <c r="F142" s="73">
        <v>5</v>
      </c>
      <c r="G142" s="73">
        <v>265.58</v>
      </c>
      <c r="H142" s="73">
        <v>5.55</v>
      </c>
      <c r="I142" s="73">
        <f t="shared" si="21"/>
        <v>271.13</v>
      </c>
      <c r="J142" s="77">
        <f t="shared" si="22"/>
        <v>1355.65</v>
      </c>
    </row>
    <row r="143" spans="1:42" s="53" customFormat="1" ht="38.25">
      <c r="A143" s="69"/>
      <c r="B143" s="70">
        <v>104174</v>
      </c>
      <c r="C143" s="70" t="s">
        <v>16</v>
      </c>
      <c r="D143" s="71" t="s">
        <v>187</v>
      </c>
      <c r="E143" s="70" t="s">
        <v>29</v>
      </c>
      <c r="F143" s="73">
        <v>5</v>
      </c>
      <c r="G143" s="73">
        <v>176.47</v>
      </c>
      <c r="H143" s="73">
        <v>10.18</v>
      </c>
      <c r="I143" s="73">
        <f t="shared" si="21"/>
        <v>186.65</v>
      </c>
      <c r="J143" s="77">
        <f t="shared" si="22"/>
        <v>933.25</v>
      </c>
    </row>
    <row r="144" spans="1:42" s="53" customFormat="1" ht="25.5">
      <c r="A144" s="69"/>
      <c r="B144" s="76">
        <v>89512</v>
      </c>
      <c r="C144" s="70" t="s">
        <v>16</v>
      </c>
      <c r="D144" s="71" t="s">
        <v>188</v>
      </c>
      <c r="E144" s="70" t="s">
        <v>18</v>
      </c>
      <c r="F144" s="73">
        <v>50</v>
      </c>
      <c r="G144" s="73">
        <v>33.56</v>
      </c>
      <c r="H144" s="73">
        <v>12.92</v>
      </c>
      <c r="I144" s="73">
        <f t="shared" si="21"/>
        <v>46.480000000000004</v>
      </c>
      <c r="J144" s="77">
        <f t="shared" si="22"/>
        <v>2324</v>
      </c>
    </row>
    <row r="145" spans="1:42" s="53" customFormat="1" ht="25.5">
      <c r="A145" s="69"/>
      <c r="B145" s="76">
        <v>89529</v>
      </c>
      <c r="C145" s="70" t="s">
        <v>16</v>
      </c>
      <c r="D145" s="71" t="s">
        <v>189</v>
      </c>
      <c r="E145" s="70" t="s">
        <v>29</v>
      </c>
      <c r="F145" s="73">
        <v>5</v>
      </c>
      <c r="G145" s="73">
        <v>32.18</v>
      </c>
      <c r="H145" s="73">
        <v>4.0999999999999996</v>
      </c>
      <c r="I145" s="73">
        <f t="shared" si="21"/>
        <v>36.28</v>
      </c>
      <c r="J145" s="77">
        <f t="shared" si="22"/>
        <v>181.4</v>
      </c>
    </row>
    <row r="146" spans="1:42" s="53" customFormat="1" ht="25.5">
      <c r="A146" s="69"/>
      <c r="B146" s="76">
        <v>89531</v>
      </c>
      <c r="C146" s="70" t="s">
        <v>16</v>
      </c>
      <c r="D146" s="71" t="s">
        <v>190</v>
      </c>
      <c r="E146" s="70" t="s">
        <v>29</v>
      </c>
      <c r="F146" s="73">
        <v>5</v>
      </c>
      <c r="G146" s="73">
        <v>33.21</v>
      </c>
      <c r="H146" s="73">
        <v>4.0999999999999996</v>
      </c>
      <c r="I146" s="73">
        <f t="shared" si="21"/>
        <v>37.31</v>
      </c>
      <c r="J146" s="77">
        <f t="shared" si="22"/>
        <v>186.55</v>
      </c>
    </row>
    <row r="147" spans="1:42" s="53" customFormat="1" ht="25.5">
      <c r="A147" s="69"/>
      <c r="B147" s="76">
        <v>89554</v>
      </c>
      <c r="C147" s="70" t="s">
        <v>16</v>
      </c>
      <c r="D147" s="71" t="s">
        <v>191</v>
      </c>
      <c r="E147" s="70" t="s">
        <v>29</v>
      </c>
      <c r="F147" s="73">
        <v>5</v>
      </c>
      <c r="G147" s="73">
        <v>24.84</v>
      </c>
      <c r="H147" s="73">
        <v>2.73</v>
      </c>
      <c r="I147" s="73">
        <f t="shared" si="21"/>
        <v>27.57</v>
      </c>
      <c r="J147" s="77">
        <f t="shared" si="22"/>
        <v>137.85</v>
      </c>
    </row>
    <row r="148" spans="1:42" s="53" customFormat="1" ht="38.25">
      <c r="A148" s="69"/>
      <c r="B148" s="76">
        <v>89557</v>
      </c>
      <c r="C148" s="70" t="s">
        <v>16</v>
      </c>
      <c r="D148" s="71" t="s">
        <v>192</v>
      </c>
      <c r="E148" s="70" t="s">
        <v>29</v>
      </c>
      <c r="F148" s="73">
        <v>5</v>
      </c>
      <c r="G148" s="73">
        <v>29.12</v>
      </c>
      <c r="H148" s="73">
        <v>2.36</v>
      </c>
      <c r="I148" s="73">
        <f t="shared" si="21"/>
        <v>31.48</v>
      </c>
      <c r="J148" s="77">
        <f t="shared" si="22"/>
        <v>157.4</v>
      </c>
    </row>
    <row r="149" spans="1:42" s="53" customFormat="1" ht="38.25">
      <c r="A149" s="69"/>
      <c r="B149" s="70" t="s">
        <v>193</v>
      </c>
      <c r="C149" s="70" t="s">
        <v>16</v>
      </c>
      <c r="D149" s="71" t="s">
        <v>194</v>
      </c>
      <c r="E149" s="70" t="s">
        <v>29</v>
      </c>
      <c r="F149" s="73">
        <v>5</v>
      </c>
      <c r="G149" s="73">
        <v>42.01</v>
      </c>
      <c r="H149" s="73">
        <v>8.23</v>
      </c>
      <c r="I149" s="73">
        <f t="shared" si="21"/>
        <v>50.239999999999995</v>
      </c>
      <c r="J149" s="77">
        <f t="shared" si="22"/>
        <v>251.2</v>
      </c>
    </row>
    <row r="150" spans="1:42" s="53" customFormat="1" ht="38.25">
      <c r="A150" s="69"/>
      <c r="B150" s="70">
        <v>89569</v>
      </c>
      <c r="C150" s="70" t="s">
        <v>16</v>
      </c>
      <c r="D150" s="71" t="s">
        <v>195</v>
      </c>
      <c r="E150" s="70" t="s">
        <v>29</v>
      </c>
      <c r="F150" s="73">
        <v>5</v>
      </c>
      <c r="G150" s="73">
        <v>86.81</v>
      </c>
      <c r="H150" s="73">
        <v>4.99</v>
      </c>
      <c r="I150" s="73">
        <f t="shared" si="21"/>
        <v>91.8</v>
      </c>
      <c r="J150" s="77">
        <f t="shared" si="22"/>
        <v>459</v>
      </c>
    </row>
    <row r="151" spans="1:42" s="53" customFormat="1" ht="25.5">
      <c r="A151" s="69"/>
      <c r="B151" s="76">
        <v>104178</v>
      </c>
      <c r="C151" s="70" t="s">
        <v>16</v>
      </c>
      <c r="D151" s="71" t="s">
        <v>196</v>
      </c>
      <c r="E151" s="70" t="s">
        <v>29</v>
      </c>
      <c r="F151" s="73">
        <v>5</v>
      </c>
      <c r="G151" s="73">
        <v>19.260000000000002</v>
      </c>
      <c r="H151" s="73">
        <v>2.0699999999999998</v>
      </c>
      <c r="I151" s="73">
        <f t="shared" si="21"/>
        <v>21.330000000000002</v>
      </c>
      <c r="J151" s="77">
        <f t="shared" si="22"/>
        <v>106.65</v>
      </c>
    </row>
    <row r="152" spans="1:42" s="53" customFormat="1" ht="51">
      <c r="A152" s="69"/>
      <c r="B152" s="76">
        <v>91789</v>
      </c>
      <c r="C152" s="70" t="s">
        <v>16</v>
      </c>
      <c r="D152" s="71" t="s">
        <v>197</v>
      </c>
      <c r="E152" s="70" t="s">
        <v>18</v>
      </c>
      <c r="F152" s="73">
        <v>50</v>
      </c>
      <c r="G152" s="73">
        <v>42.89</v>
      </c>
      <c r="H152" s="73">
        <v>6.28</v>
      </c>
      <c r="I152" s="73">
        <f t="shared" si="21"/>
        <v>49.17</v>
      </c>
      <c r="J152" s="77">
        <f t="shared" si="22"/>
        <v>2458.5</v>
      </c>
    </row>
    <row r="153" spans="1:42" s="53" customFormat="1" ht="38.25">
      <c r="A153" s="69"/>
      <c r="B153" s="70" t="s">
        <v>198</v>
      </c>
      <c r="C153" s="70" t="s">
        <v>16</v>
      </c>
      <c r="D153" s="71" t="s">
        <v>199</v>
      </c>
      <c r="E153" s="70" t="s">
        <v>29</v>
      </c>
      <c r="F153" s="73">
        <v>5</v>
      </c>
      <c r="G153" s="73">
        <v>20.48</v>
      </c>
      <c r="H153" s="73">
        <v>6.17</v>
      </c>
      <c r="I153" s="73">
        <f t="shared" si="21"/>
        <v>26.65</v>
      </c>
      <c r="J153" s="77">
        <f t="shared" si="22"/>
        <v>133.25</v>
      </c>
    </row>
    <row r="154" spans="1:42" s="53" customFormat="1" ht="38.25">
      <c r="A154" s="69"/>
      <c r="B154" s="70" t="s">
        <v>200</v>
      </c>
      <c r="C154" s="70" t="s">
        <v>16</v>
      </c>
      <c r="D154" s="71" t="s">
        <v>201</v>
      </c>
      <c r="E154" s="70" t="s">
        <v>29</v>
      </c>
      <c r="F154" s="73">
        <v>10</v>
      </c>
      <c r="G154" s="73">
        <v>33.94</v>
      </c>
      <c r="H154" s="73">
        <v>8.23</v>
      </c>
      <c r="I154" s="73">
        <f t="shared" si="21"/>
        <v>42.17</v>
      </c>
      <c r="J154" s="77">
        <f t="shared" si="22"/>
        <v>421.70000000000005</v>
      </c>
    </row>
    <row r="155" spans="1:42" s="51" customFormat="1">
      <c r="A155" s="78"/>
      <c r="B155" s="61"/>
      <c r="C155" s="61"/>
      <c r="D155" s="58" t="s">
        <v>202</v>
      </c>
      <c r="E155" s="61"/>
      <c r="F155" s="61"/>
      <c r="G155" s="61"/>
      <c r="H155" s="61"/>
      <c r="I155" s="61"/>
      <c r="J155" s="79"/>
      <c r="K155" s="32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53" customFormat="1" ht="25.5">
      <c r="A156" s="69"/>
      <c r="B156" s="70">
        <v>93358</v>
      </c>
      <c r="C156" s="70" t="s">
        <v>16</v>
      </c>
      <c r="D156" s="71" t="s">
        <v>203</v>
      </c>
      <c r="E156" s="70" t="s">
        <v>204</v>
      </c>
      <c r="F156" s="73">
        <v>10</v>
      </c>
      <c r="G156" s="73">
        <v>23.2</v>
      </c>
      <c r="H156" s="73">
        <v>46.18</v>
      </c>
      <c r="I156" s="73">
        <f>G156+H156</f>
        <v>69.38</v>
      </c>
      <c r="J156" s="77">
        <f>F156*I156</f>
        <v>693.8</v>
      </c>
    </row>
    <row r="157" spans="1:42" s="53" customFormat="1">
      <c r="A157" s="69"/>
      <c r="B157" s="70">
        <v>96995</v>
      </c>
      <c r="C157" s="70" t="s">
        <v>16</v>
      </c>
      <c r="D157" s="71" t="s">
        <v>205</v>
      </c>
      <c r="E157" s="70" t="s">
        <v>204</v>
      </c>
      <c r="F157" s="73">
        <v>10</v>
      </c>
      <c r="G157" s="73">
        <v>14.05</v>
      </c>
      <c r="H157" s="73">
        <v>28.02</v>
      </c>
      <c r="I157" s="73">
        <f>G157+H157</f>
        <v>42.07</v>
      </c>
      <c r="J157" s="77">
        <f>F157*I157</f>
        <v>420.7</v>
      </c>
    </row>
    <row r="158" spans="1:42" s="53" customFormat="1" ht="25.5">
      <c r="A158" s="69"/>
      <c r="B158" s="70" t="s">
        <v>206</v>
      </c>
      <c r="C158" s="70" t="s">
        <v>16</v>
      </c>
      <c r="D158" s="71" t="s">
        <v>207</v>
      </c>
      <c r="E158" s="70" t="s">
        <v>18</v>
      </c>
      <c r="F158" s="73">
        <v>50</v>
      </c>
      <c r="G158" s="73">
        <v>8.27</v>
      </c>
      <c r="H158" s="73">
        <v>8.1999999999999993</v>
      </c>
      <c r="I158" s="73">
        <f t="shared" ref="I158:I187" si="23">G158+H158</f>
        <v>16.47</v>
      </c>
      <c r="J158" s="77">
        <f t="shared" ref="J158:J187" si="24">F158*I158</f>
        <v>823.5</v>
      </c>
    </row>
    <row r="159" spans="1:42" s="53" customFormat="1" ht="25.5">
      <c r="A159" s="69"/>
      <c r="B159" s="70" t="s">
        <v>208</v>
      </c>
      <c r="C159" s="70" t="s">
        <v>16</v>
      </c>
      <c r="D159" s="71" t="s">
        <v>209</v>
      </c>
      <c r="E159" s="70" t="s">
        <v>29</v>
      </c>
      <c r="F159" s="73">
        <v>10</v>
      </c>
      <c r="G159" s="73">
        <v>3.13</v>
      </c>
      <c r="H159" s="73">
        <v>3.58</v>
      </c>
      <c r="I159" s="73">
        <f t="shared" si="23"/>
        <v>6.71</v>
      </c>
      <c r="J159" s="77">
        <f t="shared" si="24"/>
        <v>67.099999999999994</v>
      </c>
    </row>
    <row r="160" spans="1:42" s="53" customFormat="1" ht="25.5">
      <c r="A160" s="69"/>
      <c r="B160" s="70" t="s">
        <v>210</v>
      </c>
      <c r="C160" s="70" t="s">
        <v>16</v>
      </c>
      <c r="D160" s="71" t="s">
        <v>211</v>
      </c>
      <c r="E160" s="70" t="s">
        <v>29</v>
      </c>
      <c r="F160" s="73">
        <v>10</v>
      </c>
      <c r="G160" s="73">
        <v>4.12</v>
      </c>
      <c r="H160" s="73">
        <v>3.56</v>
      </c>
      <c r="I160" s="73">
        <f t="shared" si="23"/>
        <v>7.68</v>
      </c>
      <c r="J160" s="77">
        <f t="shared" si="24"/>
        <v>76.8</v>
      </c>
    </row>
    <row r="161" spans="1:10" s="53" customFormat="1" ht="25.5">
      <c r="A161" s="69"/>
      <c r="B161" s="70">
        <v>89869</v>
      </c>
      <c r="C161" s="70" t="s">
        <v>16</v>
      </c>
      <c r="D161" s="71" t="s">
        <v>212</v>
      </c>
      <c r="E161" s="70" t="s">
        <v>29</v>
      </c>
      <c r="F161" s="73">
        <v>10</v>
      </c>
      <c r="G161" s="73">
        <v>4.6399999999999997</v>
      </c>
      <c r="H161" s="73">
        <v>4.76</v>
      </c>
      <c r="I161" s="73">
        <f t="shared" si="23"/>
        <v>9.3999999999999986</v>
      </c>
      <c r="J161" s="77">
        <f t="shared" si="24"/>
        <v>93.999999999999986</v>
      </c>
    </row>
    <row r="162" spans="1:10" s="53" customFormat="1" ht="25.5">
      <c r="A162" s="69"/>
      <c r="B162" s="70" t="s">
        <v>145</v>
      </c>
      <c r="C162" s="70" t="s">
        <v>16</v>
      </c>
      <c r="D162" s="71" t="s">
        <v>146</v>
      </c>
      <c r="E162" s="70" t="s">
        <v>29</v>
      </c>
      <c r="F162" s="73">
        <v>10</v>
      </c>
      <c r="G162" s="73">
        <v>2.6</v>
      </c>
      <c r="H162" s="73">
        <v>1.5</v>
      </c>
      <c r="I162" s="73">
        <f t="shared" si="23"/>
        <v>4.0999999999999996</v>
      </c>
      <c r="J162" s="77">
        <f t="shared" si="24"/>
        <v>41</v>
      </c>
    </row>
    <row r="163" spans="1:10" s="53" customFormat="1" ht="25.5">
      <c r="A163" s="69"/>
      <c r="B163" s="70" t="s">
        <v>213</v>
      </c>
      <c r="C163" s="70" t="s">
        <v>16</v>
      </c>
      <c r="D163" s="71" t="s">
        <v>214</v>
      </c>
      <c r="E163" s="70" t="s">
        <v>18</v>
      </c>
      <c r="F163" s="73">
        <v>50</v>
      </c>
      <c r="G163" s="73">
        <v>11.89</v>
      </c>
      <c r="H163" s="73">
        <v>1.31</v>
      </c>
      <c r="I163" s="73">
        <f t="shared" si="23"/>
        <v>13.200000000000001</v>
      </c>
      <c r="J163" s="77">
        <f t="shared" si="24"/>
        <v>660</v>
      </c>
    </row>
    <row r="164" spans="1:10" s="53" customFormat="1" ht="38.25">
      <c r="A164" s="69"/>
      <c r="B164" s="70">
        <v>89801</v>
      </c>
      <c r="C164" s="70" t="s">
        <v>16</v>
      </c>
      <c r="D164" s="71" t="s">
        <v>215</v>
      </c>
      <c r="E164" s="70" t="s">
        <v>29</v>
      </c>
      <c r="F164" s="73">
        <v>10</v>
      </c>
      <c r="G164" s="73">
        <v>8.7200000000000006</v>
      </c>
      <c r="H164" s="73">
        <v>1.08</v>
      </c>
      <c r="I164" s="73">
        <f t="shared" si="23"/>
        <v>9.8000000000000007</v>
      </c>
      <c r="J164" s="77">
        <f t="shared" si="24"/>
        <v>98</v>
      </c>
    </row>
    <row r="165" spans="1:10" s="53" customFormat="1" ht="38.25">
      <c r="A165" s="69"/>
      <c r="B165" s="70" t="s">
        <v>216</v>
      </c>
      <c r="C165" s="70" t="s">
        <v>16</v>
      </c>
      <c r="D165" s="71" t="s">
        <v>217</v>
      </c>
      <c r="E165" s="70" t="s">
        <v>29</v>
      </c>
      <c r="F165" s="73">
        <v>10</v>
      </c>
      <c r="G165" s="73">
        <v>9.4499999999999993</v>
      </c>
      <c r="H165" s="73">
        <v>1.08</v>
      </c>
      <c r="I165" s="73">
        <f t="shared" si="23"/>
        <v>10.53</v>
      </c>
      <c r="J165" s="77">
        <f t="shared" si="24"/>
        <v>105.3</v>
      </c>
    </row>
    <row r="166" spans="1:10" s="53" customFormat="1" ht="38.25">
      <c r="A166" s="69"/>
      <c r="B166" s="70" t="s">
        <v>218</v>
      </c>
      <c r="C166" s="70" t="s">
        <v>16</v>
      </c>
      <c r="D166" s="71" t="s">
        <v>219</v>
      </c>
      <c r="E166" s="70" t="s">
        <v>29</v>
      </c>
      <c r="F166" s="73">
        <v>10</v>
      </c>
      <c r="G166" s="73">
        <v>17.420000000000002</v>
      </c>
      <c r="H166" s="73">
        <v>5.91</v>
      </c>
      <c r="I166" s="73">
        <f t="shared" si="23"/>
        <v>23.330000000000002</v>
      </c>
      <c r="J166" s="77">
        <f t="shared" si="24"/>
        <v>233.3</v>
      </c>
    </row>
    <row r="167" spans="1:10" s="53" customFormat="1">
      <c r="A167" s="69"/>
      <c r="B167" s="70">
        <v>103995</v>
      </c>
      <c r="C167" s="70" t="s">
        <v>16</v>
      </c>
      <c r="D167" s="71" t="s">
        <v>220</v>
      </c>
      <c r="E167" s="70" t="s">
        <v>29</v>
      </c>
      <c r="F167" s="73">
        <v>10</v>
      </c>
      <c r="G167" s="73">
        <v>9.92</v>
      </c>
      <c r="H167" s="73">
        <v>4.91</v>
      </c>
      <c r="I167" s="73">
        <f t="shared" si="23"/>
        <v>14.83</v>
      </c>
      <c r="J167" s="77">
        <f t="shared" si="24"/>
        <v>148.30000000000001</v>
      </c>
    </row>
    <row r="168" spans="1:10" s="53" customFormat="1" ht="38.25">
      <c r="A168" s="69"/>
      <c r="B168" s="70">
        <v>89827</v>
      </c>
      <c r="C168" s="70" t="s">
        <v>16</v>
      </c>
      <c r="D168" s="71" t="s">
        <v>221</v>
      </c>
      <c r="E168" s="70" t="s">
        <v>29</v>
      </c>
      <c r="F168" s="73">
        <v>10</v>
      </c>
      <c r="G168" s="73">
        <v>18.309999999999999</v>
      </c>
      <c r="H168" s="73">
        <v>1.45</v>
      </c>
      <c r="I168" s="73">
        <f t="shared" si="23"/>
        <v>19.759999999999998</v>
      </c>
      <c r="J168" s="77">
        <f t="shared" si="24"/>
        <v>197.59999999999997</v>
      </c>
    </row>
    <row r="169" spans="1:10" s="53" customFormat="1" ht="38.25">
      <c r="A169" s="69"/>
      <c r="B169" s="70" t="s">
        <v>222</v>
      </c>
      <c r="C169" s="70" t="s">
        <v>16</v>
      </c>
      <c r="D169" s="71" t="s">
        <v>223</v>
      </c>
      <c r="E169" s="70" t="s">
        <v>29</v>
      </c>
      <c r="F169" s="73">
        <v>50</v>
      </c>
      <c r="G169" s="73">
        <v>10.050000000000001</v>
      </c>
      <c r="H169" s="73">
        <v>9.41</v>
      </c>
      <c r="I169" s="73">
        <f t="shared" si="23"/>
        <v>19.46</v>
      </c>
      <c r="J169" s="77">
        <f t="shared" si="24"/>
        <v>973</v>
      </c>
    </row>
    <row r="170" spans="1:10" s="53" customFormat="1" ht="38.25">
      <c r="A170" s="69"/>
      <c r="B170" s="70">
        <v>89726</v>
      </c>
      <c r="C170" s="70" t="s">
        <v>16</v>
      </c>
      <c r="D170" s="71" t="s">
        <v>224</v>
      </c>
      <c r="E170" s="70" t="s">
        <v>29</v>
      </c>
      <c r="F170" s="73">
        <v>10</v>
      </c>
      <c r="G170" s="73">
        <v>5.46</v>
      </c>
      <c r="H170" s="73">
        <v>4.08</v>
      </c>
      <c r="I170" s="73">
        <f t="shared" si="23"/>
        <v>9.5399999999999991</v>
      </c>
      <c r="J170" s="77">
        <f t="shared" si="24"/>
        <v>95.399999999999991</v>
      </c>
    </row>
    <row r="171" spans="1:10" s="53" customFormat="1" ht="38.25">
      <c r="A171" s="69"/>
      <c r="B171" s="70" t="s">
        <v>225</v>
      </c>
      <c r="C171" s="70" t="s">
        <v>16</v>
      </c>
      <c r="D171" s="71" t="s">
        <v>226</v>
      </c>
      <c r="E171" s="70" t="s">
        <v>29</v>
      </c>
      <c r="F171" s="73">
        <v>10</v>
      </c>
      <c r="G171" s="73">
        <v>8.25</v>
      </c>
      <c r="H171" s="73">
        <v>5.43</v>
      </c>
      <c r="I171" s="73">
        <f t="shared" si="23"/>
        <v>13.68</v>
      </c>
      <c r="J171" s="77">
        <f t="shared" si="24"/>
        <v>136.80000000000001</v>
      </c>
    </row>
    <row r="172" spans="1:10" s="53" customFormat="1" ht="38.25">
      <c r="A172" s="69"/>
      <c r="B172" s="70" t="s">
        <v>227</v>
      </c>
      <c r="C172" s="70" t="s">
        <v>16</v>
      </c>
      <c r="D172" s="71" t="s">
        <v>228</v>
      </c>
      <c r="E172" s="70" t="s">
        <v>29</v>
      </c>
      <c r="F172" s="73">
        <v>10</v>
      </c>
      <c r="G172" s="73">
        <v>7.26</v>
      </c>
      <c r="H172" s="73">
        <v>3.5</v>
      </c>
      <c r="I172" s="73">
        <f t="shared" si="23"/>
        <v>10.76</v>
      </c>
      <c r="J172" s="77">
        <f t="shared" si="24"/>
        <v>107.6</v>
      </c>
    </row>
    <row r="173" spans="1:10" s="53" customFormat="1" ht="25.5">
      <c r="A173" s="69"/>
      <c r="B173" s="70" t="s">
        <v>229</v>
      </c>
      <c r="C173" s="70" t="s">
        <v>16</v>
      </c>
      <c r="D173" s="71" t="s">
        <v>230</v>
      </c>
      <c r="E173" s="70" t="s">
        <v>18</v>
      </c>
      <c r="F173" s="73">
        <v>50</v>
      </c>
      <c r="G173" s="73">
        <v>18.649999999999999</v>
      </c>
      <c r="H173" s="73">
        <v>8.44</v>
      </c>
      <c r="I173" s="73">
        <f t="shared" si="23"/>
        <v>27.089999999999996</v>
      </c>
      <c r="J173" s="77">
        <f t="shared" si="24"/>
        <v>1354.4999999999998</v>
      </c>
    </row>
    <row r="174" spans="1:10" s="53" customFormat="1" ht="38.25">
      <c r="A174" s="69"/>
      <c r="B174" s="70" t="s">
        <v>231</v>
      </c>
      <c r="C174" s="70" t="s">
        <v>16</v>
      </c>
      <c r="D174" s="71" t="s">
        <v>232</v>
      </c>
      <c r="E174" s="70" t="s">
        <v>29</v>
      </c>
      <c r="F174" s="73">
        <v>10</v>
      </c>
      <c r="G174" s="73">
        <v>21.31</v>
      </c>
      <c r="H174" s="73">
        <v>6.17</v>
      </c>
      <c r="I174" s="73">
        <f t="shared" si="23"/>
        <v>27.479999999999997</v>
      </c>
      <c r="J174" s="77">
        <f t="shared" si="24"/>
        <v>274.79999999999995</v>
      </c>
    </row>
    <row r="175" spans="1:10" s="53" customFormat="1" ht="38.25">
      <c r="A175" s="69"/>
      <c r="B175" s="70">
        <v>89809</v>
      </c>
      <c r="C175" s="70" t="s">
        <v>16</v>
      </c>
      <c r="D175" s="71" t="s">
        <v>233</v>
      </c>
      <c r="E175" s="70" t="s">
        <v>29</v>
      </c>
      <c r="F175" s="73">
        <v>10</v>
      </c>
      <c r="G175" s="73">
        <v>20.74</v>
      </c>
      <c r="H175" s="73">
        <v>6.96</v>
      </c>
      <c r="I175" s="73">
        <f t="shared" si="23"/>
        <v>27.7</v>
      </c>
      <c r="J175" s="77">
        <f t="shared" si="24"/>
        <v>277</v>
      </c>
    </row>
    <row r="176" spans="1:10" s="53" customFormat="1" ht="38.25">
      <c r="A176" s="69"/>
      <c r="B176" s="70" t="s">
        <v>193</v>
      </c>
      <c r="C176" s="70" t="s">
        <v>16</v>
      </c>
      <c r="D176" s="71" t="s">
        <v>194</v>
      </c>
      <c r="E176" s="70" t="s">
        <v>29</v>
      </c>
      <c r="F176" s="73">
        <v>10</v>
      </c>
      <c r="G176" s="73">
        <v>42.01</v>
      </c>
      <c r="H176" s="73">
        <v>8.23</v>
      </c>
      <c r="I176" s="73">
        <f t="shared" si="23"/>
        <v>50.239999999999995</v>
      </c>
      <c r="J176" s="77">
        <f t="shared" si="24"/>
        <v>502.4</v>
      </c>
    </row>
    <row r="177" spans="1:42" s="53" customFormat="1" ht="38.25">
      <c r="A177" s="69"/>
      <c r="B177" s="70" t="s">
        <v>234</v>
      </c>
      <c r="C177" s="70" t="s">
        <v>16</v>
      </c>
      <c r="D177" s="71" t="s">
        <v>235</v>
      </c>
      <c r="E177" s="70" t="s">
        <v>29</v>
      </c>
      <c r="F177" s="73">
        <v>10</v>
      </c>
      <c r="G177" s="73">
        <v>34.11</v>
      </c>
      <c r="H177" s="73">
        <v>6.67</v>
      </c>
      <c r="I177" s="73">
        <f t="shared" si="23"/>
        <v>40.78</v>
      </c>
      <c r="J177" s="77">
        <f t="shared" si="24"/>
        <v>407.8</v>
      </c>
    </row>
    <row r="178" spans="1:42" s="53" customFormat="1" ht="38.25">
      <c r="A178" s="69"/>
      <c r="B178" s="70" t="s">
        <v>236</v>
      </c>
      <c r="C178" s="70" t="s">
        <v>16</v>
      </c>
      <c r="D178" s="71" t="s">
        <v>237</v>
      </c>
      <c r="E178" s="70" t="s">
        <v>29</v>
      </c>
      <c r="F178" s="73">
        <v>10</v>
      </c>
      <c r="G178" s="73">
        <v>143.22</v>
      </c>
      <c r="H178" s="73">
        <v>8.24</v>
      </c>
      <c r="I178" s="73">
        <f t="shared" si="23"/>
        <v>151.46</v>
      </c>
      <c r="J178" s="77">
        <f t="shared" si="24"/>
        <v>1514.6000000000001</v>
      </c>
    </row>
    <row r="179" spans="1:42" s="53" customFormat="1" ht="38.25">
      <c r="A179" s="69"/>
      <c r="B179" s="70" t="s">
        <v>200</v>
      </c>
      <c r="C179" s="70" t="s">
        <v>16</v>
      </c>
      <c r="D179" s="71" t="s">
        <v>201</v>
      </c>
      <c r="E179" s="70" t="s">
        <v>29</v>
      </c>
      <c r="F179" s="73">
        <v>10</v>
      </c>
      <c r="G179" s="73">
        <v>33.94</v>
      </c>
      <c r="H179" s="73">
        <v>8.23</v>
      </c>
      <c r="I179" s="73">
        <f t="shared" si="23"/>
        <v>42.17</v>
      </c>
      <c r="J179" s="77">
        <f t="shared" si="24"/>
        <v>421.70000000000005</v>
      </c>
    </row>
    <row r="180" spans="1:42" s="53" customFormat="1" ht="38.25">
      <c r="A180" s="69"/>
      <c r="B180" s="70" t="s">
        <v>238</v>
      </c>
      <c r="C180" s="70" t="s">
        <v>16</v>
      </c>
      <c r="D180" s="71" t="s">
        <v>239</v>
      </c>
      <c r="E180" s="70" t="s">
        <v>29</v>
      </c>
      <c r="F180" s="73">
        <v>10</v>
      </c>
      <c r="G180" s="73">
        <v>32.29</v>
      </c>
      <c r="H180" s="73">
        <v>7.45</v>
      </c>
      <c r="I180" s="73">
        <f t="shared" si="23"/>
        <v>39.74</v>
      </c>
      <c r="J180" s="77">
        <f t="shared" si="24"/>
        <v>397.40000000000003</v>
      </c>
    </row>
    <row r="181" spans="1:42" s="53" customFormat="1" ht="25.5">
      <c r="A181" s="69"/>
      <c r="B181" s="70">
        <v>89799</v>
      </c>
      <c r="C181" s="70" t="s">
        <v>16</v>
      </c>
      <c r="D181" s="71" t="s">
        <v>240</v>
      </c>
      <c r="E181" s="70" t="s">
        <v>18</v>
      </c>
      <c r="F181" s="73">
        <v>50</v>
      </c>
      <c r="G181" s="73">
        <v>16.61</v>
      </c>
      <c r="H181" s="73">
        <v>4.88</v>
      </c>
      <c r="I181" s="73">
        <f t="shared" si="23"/>
        <v>21.49</v>
      </c>
      <c r="J181" s="77">
        <f t="shared" si="24"/>
        <v>1074.5</v>
      </c>
    </row>
    <row r="182" spans="1:42" s="53" customFormat="1" ht="38.25">
      <c r="A182" s="69"/>
      <c r="B182" s="70" t="s">
        <v>241</v>
      </c>
      <c r="C182" s="70" t="s">
        <v>16</v>
      </c>
      <c r="D182" s="71" t="s">
        <v>242</v>
      </c>
      <c r="E182" s="70" t="s">
        <v>29</v>
      </c>
      <c r="F182" s="73">
        <v>10</v>
      </c>
      <c r="G182" s="73">
        <v>17.13</v>
      </c>
      <c r="H182" s="73">
        <v>4.01</v>
      </c>
      <c r="I182" s="73">
        <f t="shared" si="23"/>
        <v>21.14</v>
      </c>
      <c r="J182" s="77">
        <f t="shared" si="24"/>
        <v>211.4</v>
      </c>
    </row>
    <row r="183" spans="1:42" s="53" customFormat="1" ht="38.25">
      <c r="A183" s="69"/>
      <c r="B183" s="70">
        <v>89805</v>
      </c>
      <c r="C183" s="70" t="s">
        <v>16</v>
      </c>
      <c r="D183" s="71" t="s">
        <v>243</v>
      </c>
      <c r="E183" s="70" t="s">
        <v>29</v>
      </c>
      <c r="F183" s="73">
        <v>10</v>
      </c>
      <c r="G183" s="73">
        <v>16.149999999999999</v>
      </c>
      <c r="H183" s="73">
        <v>4.01</v>
      </c>
      <c r="I183" s="73">
        <f t="shared" si="23"/>
        <v>20.159999999999997</v>
      </c>
      <c r="J183" s="77">
        <f t="shared" si="24"/>
        <v>201.59999999999997</v>
      </c>
    </row>
    <row r="184" spans="1:42" s="53" customFormat="1" ht="38.25">
      <c r="A184" s="69"/>
      <c r="B184" s="70">
        <v>89795</v>
      </c>
      <c r="C184" s="70" t="s">
        <v>16</v>
      </c>
      <c r="D184" s="71" t="s">
        <v>244</v>
      </c>
      <c r="E184" s="70" t="s">
        <v>29</v>
      </c>
      <c r="F184" s="73">
        <v>10</v>
      </c>
      <c r="G184" s="73">
        <v>32.85</v>
      </c>
      <c r="H184" s="73">
        <v>7.05</v>
      </c>
      <c r="I184" s="73">
        <f t="shared" si="23"/>
        <v>39.9</v>
      </c>
      <c r="J184" s="77">
        <f t="shared" si="24"/>
        <v>399</v>
      </c>
    </row>
    <row r="185" spans="1:42" s="53" customFormat="1" ht="38.25">
      <c r="A185" s="69"/>
      <c r="B185" s="70" t="s">
        <v>245</v>
      </c>
      <c r="C185" s="70" t="s">
        <v>16</v>
      </c>
      <c r="D185" s="71" t="s">
        <v>246</v>
      </c>
      <c r="E185" s="70" t="s">
        <v>29</v>
      </c>
      <c r="F185" s="73">
        <v>10</v>
      </c>
      <c r="G185" s="73">
        <v>17.329999999999998</v>
      </c>
      <c r="H185" s="73">
        <v>1.64</v>
      </c>
      <c r="I185" s="73">
        <f t="shared" si="23"/>
        <v>18.97</v>
      </c>
      <c r="J185" s="77">
        <f t="shared" si="24"/>
        <v>189.7</v>
      </c>
    </row>
    <row r="186" spans="1:42" s="53" customFormat="1" ht="38.25">
      <c r="A186" s="69"/>
      <c r="B186" s="70">
        <v>104329</v>
      </c>
      <c r="C186" s="70" t="s">
        <v>16</v>
      </c>
      <c r="D186" s="71" t="s">
        <v>247</v>
      </c>
      <c r="E186" s="70" t="s">
        <v>29</v>
      </c>
      <c r="F186" s="73">
        <v>4</v>
      </c>
      <c r="G186" s="73">
        <v>57.63</v>
      </c>
      <c r="H186" s="73">
        <v>13.57</v>
      </c>
      <c r="I186" s="73">
        <f t="shared" si="23"/>
        <v>71.2</v>
      </c>
      <c r="J186" s="77">
        <f t="shared" si="24"/>
        <v>284.8</v>
      </c>
    </row>
    <row r="187" spans="1:42" s="53" customFormat="1" ht="38.25">
      <c r="A187" s="69"/>
      <c r="B187" s="70">
        <v>89707</v>
      </c>
      <c r="C187" s="70" t="s">
        <v>16</v>
      </c>
      <c r="D187" s="71" t="s">
        <v>248</v>
      </c>
      <c r="E187" s="70" t="s">
        <v>29</v>
      </c>
      <c r="F187" s="73">
        <v>4</v>
      </c>
      <c r="G187" s="73">
        <v>30.68</v>
      </c>
      <c r="H187" s="73">
        <v>12.8</v>
      </c>
      <c r="I187" s="73">
        <f t="shared" si="23"/>
        <v>43.480000000000004</v>
      </c>
      <c r="J187" s="77">
        <f t="shared" si="24"/>
        <v>173.92000000000002</v>
      </c>
    </row>
    <row r="188" spans="1:42" s="51" customFormat="1">
      <c r="A188" s="78"/>
      <c r="B188" s="61"/>
      <c r="C188" s="61"/>
      <c r="D188" s="58" t="s">
        <v>249</v>
      </c>
      <c r="E188" s="61"/>
      <c r="F188" s="61"/>
      <c r="G188" s="61"/>
      <c r="H188" s="61"/>
      <c r="I188" s="61"/>
      <c r="J188" s="79"/>
      <c r="K188" s="32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53" customFormat="1" ht="25.5">
      <c r="A189" s="69"/>
      <c r="B189" s="70" t="s">
        <v>250</v>
      </c>
      <c r="C189" s="70" t="s">
        <v>16</v>
      </c>
      <c r="D189" s="71" t="s">
        <v>251</v>
      </c>
      <c r="E189" s="70" t="s">
        <v>29</v>
      </c>
      <c r="F189" s="73">
        <v>6</v>
      </c>
      <c r="G189" s="73">
        <v>76.89</v>
      </c>
      <c r="H189" s="73">
        <v>8.27</v>
      </c>
      <c r="I189" s="73">
        <f t="shared" ref="I189:I193" si="25">G189+H189</f>
        <v>85.16</v>
      </c>
      <c r="J189" s="77">
        <f t="shared" ref="J189:J193" si="26">F189*I189</f>
        <v>510.96</v>
      </c>
    </row>
    <row r="190" spans="1:42" s="53" customFormat="1" ht="25.5">
      <c r="A190" s="69"/>
      <c r="B190" s="70" t="s">
        <v>252</v>
      </c>
      <c r="C190" s="70" t="s">
        <v>16</v>
      </c>
      <c r="D190" s="71" t="s">
        <v>253</v>
      </c>
      <c r="E190" s="70" t="s">
        <v>29</v>
      </c>
      <c r="F190" s="73">
        <v>2</v>
      </c>
      <c r="G190" s="73">
        <v>134.06</v>
      </c>
      <c r="H190" s="73">
        <v>4.12</v>
      </c>
      <c r="I190" s="73">
        <f t="shared" si="25"/>
        <v>138.18</v>
      </c>
      <c r="J190" s="77">
        <f t="shared" si="26"/>
        <v>276.36</v>
      </c>
    </row>
    <row r="191" spans="1:42" s="53" customFormat="1">
      <c r="A191" s="69"/>
      <c r="B191" s="70" t="s">
        <v>254</v>
      </c>
      <c r="C191" s="70" t="s">
        <v>16</v>
      </c>
      <c r="D191" s="71" t="s">
        <v>255</v>
      </c>
      <c r="E191" s="70" t="s">
        <v>29</v>
      </c>
      <c r="F191" s="73">
        <v>2</v>
      </c>
      <c r="G191" s="73">
        <v>159.93</v>
      </c>
      <c r="H191" s="73">
        <v>5.16</v>
      </c>
      <c r="I191" s="73">
        <f t="shared" si="25"/>
        <v>165.09</v>
      </c>
      <c r="J191" s="77">
        <f t="shared" si="26"/>
        <v>330.18</v>
      </c>
    </row>
    <row r="192" spans="1:42" s="53" customFormat="1" ht="25.5">
      <c r="A192" s="69"/>
      <c r="B192" s="70" t="s">
        <v>256</v>
      </c>
      <c r="C192" s="70" t="s">
        <v>16</v>
      </c>
      <c r="D192" s="71" t="s">
        <v>257</v>
      </c>
      <c r="E192" s="70" t="s">
        <v>18</v>
      </c>
      <c r="F192" s="73">
        <v>100</v>
      </c>
      <c r="G192" s="73">
        <v>46.5</v>
      </c>
      <c r="H192" s="73">
        <v>13.46</v>
      </c>
      <c r="I192" s="73">
        <f t="shared" si="25"/>
        <v>59.96</v>
      </c>
      <c r="J192" s="77">
        <f t="shared" si="26"/>
        <v>5996</v>
      </c>
    </row>
    <row r="193" spans="1:53" s="53" customFormat="1" ht="38.25">
      <c r="A193" s="69"/>
      <c r="B193" s="70">
        <v>91871</v>
      </c>
      <c r="C193" s="70" t="s">
        <v>16</v>
      </c>
      <c r="D193" s="71" t="s">
        <v>258</v>
      </c>
      <c r="E193" s="70" t="s">
        <v>18</v>
      </c>
      <c r="F193" s="73">
        <v>80</v>
      </c>
      <c r="G193" s="73">
        <v>6.72</v>
      </c>
      <c r="H193" s="73">
        <v>5.78</v>
      </c>
      <c r="I193" s="73">
        <f t="shared" si="25"/>
        <v>12.5</v>
      </c>
      <c r="J193" s="77">
        <f t="shared" si="26"/>
        <v>1000</v>
      </c>
    </row>
    <row r="194" spans="1:53" s="9" customFormat="1">
      <c r="A194"/>
      <c r="B194" s="5">
        <v>10337</v>
      </c>
      <c r="C194" s="5" t="s">
        <v>259</v>
      </c>
      <c r="D194" s="6" t="s">
        <v>260</v>
      </c>
      <c r="E194" s="5" t="s">
        <v>29</v>
      </c>
      <c r="F194" s="4">
        <v>100</v>
      </c>
      <c r="G194" s="4">
        <v>12</v>
      </c>
      <c r="H194" s="4"/>
      <c r="I194" s="4"/>
      <c r="J194" s="28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</row>
    <row r="195" spans="1:53" s="9" customFormat="1">
      <c r="A195"/>
      <c r="B195" s="5">
        <v>10622</v>
      </c>
      <c r="C195" s="5" t="s">
        <v>259</v>
      </c>
      <c r="D195" s="6" t="s">
        <v>261</v>
      </c>
      <c r="E195" s="5" t="s">
        <v>29</v>
      </c>
      <c r="F195" s="4">
        <v>12</v>
      </c>
      <c r="G195" s="4">
        <v>4.6500000000000004</v>
      </c>
      <c r="H195" s="4"/>
      <c r="I195" s="4"/>
      <c r="J195" s="28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</row>
    <row r="196" spans="1:53" s="51" customFormat="1">
      <c r="A196" s="78"/>
      <c r="B196" s="61"/>
      <c r="C196" s="61"/>
      <c r="D196" s="58" t="s">
        <v>262</v>
      </c>
      <c r="E196" s="61"/>
      <c r="F196" s="61"/>
      <c r="G196" s="61"/>
      <c r="H196" s="61"/>
      <c r="I196" s="61"/>
      <c r="J196" s="79"/>
      <c r="K196" s="32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53" s="53" customFormat="1" ht="25.5">
      <c r="A197" s="69"/>
      <c r="B197" s="70" t="s">
        <v>263</v>
      </c>
      <c r="C197" s="70" t="s">
        <v>16</v>
      </c>
      <c r="D197" s="71" t="s">
        <v>264</v>
      </c>
      <c r="E197" s="70" t="s">
        <v>29</v>
      </c>
      <c r="F197" s="73">
        <v>20</v>
      </c>
      <c r="G197" s="73">
        <v>5.51</v>
      </c>
      <c r="H197" s="73">
        <v>9.64</v>
      </c>
      <c r="I197" s="73">
        <f t="shared" ref="I197:I200" si="27">G197+H197</f>
        <v>15.15</v>
      </c>
      <c r="J197" s="77">
        <f t="shared" ref="J197:J200" si="28">F197*I197</f>
        <v>303</v>
      </c>
    </row>
    <row r="198" spans="1:53" s="53" customFormat="1" ht="25.5">
      <c r="A198" s="69"/>
      <c r="B198" s="70" t="s">
        <v>265</v>
      </c>
      <c r="C198" s="70" t="s">
        <v>16</v>
      </c>
      <c r="D198" s="71" t="s">
        <v>266</v>
      </c>
      <c r="E198" s="70" t="s">
        <v>29</v>
      </c>
      <c r="F198" s="73">
        <v>20</v>
      </c>
      <c r="G198" s="73">
        <v>7.46</v>
      </c>
      <c r="H198" s="73">
        <v>10</v>
      </c>
      <c r="I198" s="73">
        <f t="shared" si="27"/>
        <v>17.46</v>
      </c>
      <c r="J198" s="77">
        <f t="shared" si="28"/>
        <v>349.20000000000005</v>
      </c>
    </row>
    <row r="199" spans="1:53" s="9" customFormat="1">
      <c r="A199"/>
      <c r="B199" s="5">
        <v>3923</v>
      </c>
      <c r="C199" s="5" t="s">
        <v>25</v>
      </c>
      <c r="D199" s="6" t="s">
        <v>267</v>
      </c>
      <c r="E199" s="5" t="s">
        <v>18</v>
      </c>
      <c r="F199" s="4">
        <v>36</v>
      </c>
      <c r="G199" s="4">
        <v>2.5299999999999998</v>
      </c>
      <c r="H199" s="4"/>
      <c r="I199" s="73">
        <f t="shared" si="27"/>
        <v>2.5299999999999998</v>
      </c>
      <c r="J199" s="77">
        <f t="shared" si="28"/>
        <v>91.08</v>
      </c>
    </row>
    <row r="200" spans="1:53" s="53" customFormat="1" ht="25.5">
      <c r="A200" s="69"/>
      <c r="B200" s="70" t="s">
        <v>268</v>
      </c>
      <c r="C200" s="70" t="s">
        <v>16</v>
      </c>
      <c r="D200" s="71" t="s">
        <v>269</v>
      </c>
      <c r="E200" s="70" t="s">
        <v>29</v>
      </c>
      <c r="F200" s="73">
        <v>3</v>
      </c>
      <c r="G200" s="73">
        <v>62.02</v>
      </c>
      <c r="H200" s="73"/>
      <c r="I200" s="73">
        <f t="shared" si="27"/>
        <v>62.02</v>
      </c>
      <c r="J200" s="77">
        <f t="shared" si="28"/>
        <v>186.06</v>
      </c>
    </row>
    <row r="201" spans="1:53" s="53" customFormat="1" ht="25.5">
      <c r="A201" s="69"/>
      <c r="B201" s="70">
        <v>93668</v>
      </c>
      <c r="C201" s="70" t="s">
        <v>16</v>
      </c>
      <c r="D201" s="71" t="s">
        <v>270</v>
      </c>
      <c r="E201" s="70" t="s">
        <v>29</v>
      </c>
      <c r="F201" s="73">
        <v>3</v>
      </c>
      <c r="G201" s="73">
        <v>63.7</v>
      </c>
      <c r="H201" s="73"/>
      <c r="I201" s="73">
        <f t="shared" ref="I201:I214" si="29">G201+H201</f>
        <v>63.7</v>
      </c>
      <c r="J201" s="77">
        <f t="shared" ref="J201:J214" si="30">F201*I201</f>
        <v>191.10000000000002</v>
      </c>
    </row>
    <row r="202" spans="1:53" s="53" customFormat="1" ht="25.5">
      <c r="A202" s="69"/>
      <c r="B202" s="70" t="s">
        <v>271</v>
      </c>
      <c r="C202" s="70" t="s">
        <v>16</v>
      </c>
      <c r="D202" s="71" t="s">
        <v>272</v>
      </c>
      <c r="E202" s="70" t="s">
        <v>29</v>
      </c>
      <c r="F202" s="73">
        <v>3</v>
      </c>
      <c r="G202" s="73">
        <v>70.900000000000006</v>
      </c>
      <c r="H202" s="73"/>
      <c r="I202" s="73">
        <f t="shared" si="29"/>
        <v>70.900000000000006</v>
      </c>
      <c r="J202" s="77">
        <f t="shared" si="30"/>
        <v>212.70000000000002</v>
      </c>
    </row>
    <row r="203" spans="1:53" s="53" customFormat="1" ht="25.5">
      <c r="A203" s="69"/>
      <c r="B203" s="70" t="s">
        <v>273</v>
      </c>
      <c r="C203" s="70" t="s">
        <v>16</v>
      </c>
      <c r="D203" s="71" t="s">
        <v>274</v>
      </c>
      <c r="E203" s="70" t="s">
        <v>29</v>
      </c>
      <c r="F203" s="73">
        <v>3</v>
      </c>
      <c r="G203" s="73">
        <v>66.959999999999994</v>
      </c>
      <c r="H203" s="73"/>
      <c r="I203" s="73">
        <f t="shared" si="29"/>
        <v>66.959999999999994</v>
      </c>
      <c r="J203" s="77">
        <f t="shared" si="30"/>
        <v>200.88</v>
      </c>
    </row>
    <row r="204" spans="1:53" s="53" customFormat="1" ht="25.5">
      <c r="A204" s="69"/>
      <c r="B204" s="70" t="s">
        <v>275</v>
      </c>
      <c r="C204" s="70" t="s">
        <v>16</v>
      </c>
      <c r="D204" s="71" t="s">
        <v>276</v>
      </c>
      <c r="E204" s="70" t="s">
        <v>29</v>
      </c>
      <c r="F204" s="73">
        <v>3</v>
      </c>
      <c r="G204" s="73">
        <v>77.150000000000006</v>
      </c>
      <c r="H204" s="73"/>
      <c r="I204" s="73">
        <f t="shared" si="29"/>
        <v>77.150000000000006</v>
      </c>
      <c r="J204" s="77">
        <f t="shared" si="30"/>
        <v>231.45000000000002</v>
      </c>
    </row>
    <row r="205" spans="1:53" s="53" customFormat="1" ht="25.5">
      <c r="A205" s="69"/>
      <c r="B205" s="70" t="s">
        <v>277</v>
      </c>
      <c r="C205" s="70" t="s">
        <v>16</v>
      </c>
      <c r="D205" s="71" t="s">
        <v>278</v>
      </c>
      <c r="E205" s="70" t="s">
        <v>29</v>
      </c>
      <c r="F205" s="73">
        <v>3</v>
      </c>
      <c r="G205" s="73">
        <v>85.19</v>
      </c>
      <c r="H205" s="73"/>
      <c r="I205" s="73">
        <f t="shared" si="29"/>
        <v>85.19</v>
      </c>
      <c r="J205" s="77">
        <f t="shared" si="30"/>
        <v>255.57</v>
      </c>
    </row>
    <row r="206" spans="1:53" s="53" customFormat="1" ht="25.5">
      <c r="A206" s="69"/>
      <c r="B206" s="70">
        <v>101894</v>
      </c>
      <c r="C206" s="70" t="s">
        <v>16</v>
      </c>
      <c r="D206" s="71" t="s">
        <v>279</v>
      </c>
      <c r="E206" s="70" t="s">
        <v>29</v>
      </c>
      <c r="F206" s="73">
        <v>2</v>
      </c>
      <c r="G206" s="73">
        <v>137.51</v>
      </c>
      <c r="H206" s="73"/>
      <c r="I206" s="73">
        <f t="shared" si="29"/>
        <v>137.51</v>
      </c>
      <c r="J206" s="77">
        <f t="shared" si="30"/>
        <v>275.02</v>
      </c>
    </row>
    <row r="207" spans="1:53" s="53" customFormat="1" ht="25.5">
      <c r="A207" s="69"/>
      <c r="B207" s="70" t="s">
        <v>280</v>
      </c>
      <c r="C207" s="70" t="s">
        <v>16</v>
      </c>
      <c r="D207" s="71" t="s">
        <v>281</v>
      </c>
      <c r="E207" s="70" t="s">
        <v>29</v>
      </c>
      <c r="F207" s="73">
        <v>5</v>
      </c>
      <c r="G207" s="73">
        <v>10.199999999999999</v>
      </c>
      <c r="H207" s="73"/>
      <c r="I207" s="73">
        <f t="shared" si="29"/>
        <v>10.199999999999999</v>
      </c>
      <c r="J207" s="77">
        <f t="shared" si="30"/>
        <v>51</v>
      </c>
    </row>
    <row r="208" spans="1:53" s="53" customFormat="1" ht="25.5">
      <c r="A208" s="69"/>
      <c r="B208" s="70" t="s">
        <v>282</v>
      </c>
      <c r="C208" s="70" t="s">
        <v>16</v>
      </c>
      <c r="D208" s="71" t="s">
        <v>283</v>
      </c>
      <c r="E208" s="70" t="s">
        <v>29</v>
      </c>
      <c r="F208" s="73">
        <v>21</v>
      </c>
      <c r="G208" s="73">
        <v>10.76</v>
      </c>
      <c r="H208" s="73"/>
      <c r="I208" s="73">
        <f t="shared" si="29"/>
        <v>10.76</v>
      </c>
      <c r="J208" s="77">
        <f t="shared" si="30"/>
        <v>225.96</v>
      </c>
    </row>
    <row r="209" spans="1:10" s="53" customFormat="1" ht="25.5">
      <c r="A209" s="69"/>
      <c r="B209" s="70" t="s">
        <v>284</v>
      </c>
      <c r="C209" s="70" t="s">
        <v>16</v>
      </c>
      <c r="D209" s="71" t="s">
        <v>285</v>
      </c>
      <c r="E209" s="70" t="s">
        <v>29</v>
      </c>
      <c r="F209" s="73">
        <v>5</v>
      </c>
      <c r="G209" s="73">
        <v>11.84</v>
      </c>
      <c r="H209" s="73"/>
      <c r="I209" s="73">
        <f t="shared" si="29"/>
        <v>11.84</v>
      </c>
      <c r="J209" s="77">
        <f t="shared" si="30"/>
        <v>59.2</v>
      </c>
    </row>
    <row r="210" spans="1:10" s="53" customFormat="1" ht="25.5">
      <c r="A210" s="69"/>
      <c r="B210" s="70" t="s">
        <v>286</v>
      </c>
      <c r="C210" s="70" t="s">
        <v>16</v>
      </c>
      <c r="D210" s="71" t="s">
        <v>287</v>
      </c>
      <c r="E210" s="70" t="s">
        <v>29</v>
      </c>
      <c r="F210" s="73">
        <v>5</v>
      </c>
      <c r="G210" s="73">
        <v>11.84</v>
      </c>
      <c r="H210" s="73"/>
      <c r="I210" s="73">
        <f t="shared" si="29"/>
        <v>11.84</v>
      </c>
      <c r="J210" s="77">
        <f t="shared" si="30"/>
        <v>59.2</v>
      </c>
    </row>
    <row r="211" spans="1:10" s="53" customFormat="1" ht="25.5">
      <c r="A211" s="69"/>
      <c r="B211" s="70">
        <v>93657</v>
      </c>
      <c r="C211" s="70" t="s">
        <v>16</v>
      </c>
      <c r="D211" s="71" t="s">
        <v>288</v>
      </c>
      <c r="E211" s="70" t="s">
        <v>29</v>
      </c>
      <c r="F211" s="73">
        <v>5</v>
      </c>
      <c r="G211" s="73">
        <v>13.15</v>
      </c>
      <c r="H211" s="73"/>
      <c r="I211" s="73">
        <f t="shared" si="29"/>
        <v>13.15</v>
      </c>
      <c r="J211" s="77">
        <f t="shared" si="30"/>
        <v>65.75</v>
      </c>
    </row>
    <row r="212" spans="1:10" s="53" customFormat="1" ht="25.5">
      <c r="A212" s="69"/>
      <c r="B212" s="70" t="s">
        <v>289</v>
      </c>
      <c r="C212" s="70" t="s">
        <v>16</v>
      </c>
      <c r="D212" s="71" t="s">
        <v>290</v>
      </c>
      <c r="E212" s="70" t="s">
        <v>29</v>
      </c>
      <c r="F212" s="73">
        <v>5</v>
      </c>
      <c r="G212" s="73">
        <v>19</v>
      </c>
      <c r="H212" s="73"/>
      <c r="I212" s="73">
        <f t="shared" si="29"/>
        <v>19</v>
      </c>
      <c r="J212" s="77">
        <f t="shared" si="30"/>
        <v>95</v>
      </c>
    </row>
    <row r="213" spans="1:10" s="9" customFormat="1">
      <c r="A213"/>
      <c r="B213" s="5" t="s">
        <v>291</v>
      </c>
      <c r="C213" s="5" t="s">
        <v>25</v>
      </c>
      <c r="D213" s="6" t="s">
        <v>292</v>
      </c>
      <c r="E213" s="5" t="s">
        <v>293</v>
      </c>
      <c r="F213" s="4">
        <v>2</v>
      </c>
      <c r="G213" s="4">
        <v>222.1</v>
      </c>
      <c r="H213" s="4"/>
      <c r="I213" s="73">
        <f t="shared" si="29"/>
        <v>222.1</v>
      </c>
      <c r="J213" s="77">
        <f t="shared" si="30"/>
        <v>444.2</v>
      </c>
    </row>
    <row r="214" spans="1:10" s="9" customFormat="1">
      <c r="A214"/>
      <c r="B214" s="5" t="s">
        <v>294</v>
      </c>
      <c r="C214" s="5" t="s">
        <v>25</v>
      </c>
      <c r="D214" s="6" t="s">
        <v>295</v>
      </c>
      <c r="E214" s="5" t="s">
        <v>293</v>
      </c>
      <c r="F214" s="4">
        <v>2</v>
      </c>
      <c r="G214" s="4">
        <v>217.38</v>
      </c>
      <c r="H214" s="4"/>
      <c r="I214" s="73">
        <f t="shared" si="29"/>
        <v>217.38</v>
      </c>
      <c r="J214" s="77">
        <f t="shared" si="30"/>
        <v>434.76</v>
      </c>
    </row>
    <row r="215" spans="1:10" s="53" customFormat="1" ht="25.5">
      <c r="A215" s="69"/>
      <c r="B215" s="70" t="s">
        <v>296</v>
      </c>
      <c r="C215" s="70" t="s">
        <v>16</v>
      </c>
      <c r="D215" s="71" t="s">
        <v>297</v>
      </c>
      <c r="E215" s="70" t="s">
        <v>29</v>
      </c>
      <c r="F215" s="73">
        <v>10</v>
      </c>
      <c r="G215" s="73">
        <v>48.04</v>
      </c>
      <c r="H215" s="73"/>
      <c r="I215" s="73">
        <f t="shared" ref="I215:I220" si="31">G215+H215</f>
        <v>48.04</v>
      </c>
      <c r="J215" s="77">
        <f t="shared" ref="J215:J220" si="32">F215*I215</f>
        <v>480.4</v>
      </c>
    </row>
    <row r="216" spans="1:10" s="53" customFormat="1" ht="25.5">
      <c r="A216" s="69"/>
      <c r="B216" s="70" t="s">
        <v>298</v>
      </c>
      <c r="C216" s="70" t="s">
        <v>16</v>
      </c>
      <c r="D216" s="71" t="s">
        <v>299</v>
      </c>
      <c r="E216" s="70" t="s">
        <v>29</v>
      </c>
      <c r="F216" s="73">
        <v>15</v>
      </c>
      <c r="G216" s="73">
        <v>48.71</v>
      </c>
      <c r="H216" s="73"/>
      <c r="I216" s="73">
        <f t="shared" si="31"/>
        <v>48.71</v>
      </c>
      <c r="J216" s="77">
        <f t="shared" si="32"/>
        <v>730.65</v>
      </c>
    </row>
    <row r="217" spans="1:10" s="53" customFormat="1" ht="25.5">
      <c r="A217" s="69"/>
      <c r="B217" s="70" t="s">
        <v>300</v>
      </c>
      <c r="C217" s="70" t="s">
        <v>16</v>
      </c>
      <c r="D217" s="71" t="s">
        <v>301</v>
      </c>
      <c r="E217" s="70" t="s">
        <v>29</v>
      </c>
      <c r="F217" s="73">
        <v>10</v>
      </c>
      <c r="G217" s="73">
        <v>31.49</v>
      </c>
      <c r="H217" s="73"/>
      <c r="I217" s="73">
        <f t="shared" si="31"/>
        <v>31.49</v>
      </c>
      <c r="J217" s="77">
        <f t="shared" si="32"/>
        <v>314.89999999999998</v>
      </c>
    </row>
    <row r="218" spans="1:10" s="53" customFormat="1" ht="25.5">
      <c r="A218" s="69"/>
      <c r="B218" s="70" t="s">
        <v>302</v>
      </c>
      <c r="C218" s="70" t="s">
        <v>16</v>
      </c>
      <c r="D218" s="71" t="s">
        <v>303</v>
      </c>
      <c r="E218" s="70" t="s">
        <v>29</v>
      </c>
      <c r="F218" s="73">
        <v>10</v>
      </c>
      <c r="G218" s="73">
        <v>52.49</v>
      </c>
      <c r="H218" s="73"/>
      <c r="I218" s="73">
        <f t="shared" si="31"/>
        <v>52.49</v>
      </c>
      <c r="J218" s="77">
        <f t="shared" si="32"/>
        <v>524.9</v>
      </c>
    </row>
    <row r="219" spans="1:10" s="9" customFormat="1">
      <c r="A219"/>
      <c r="B219" s="84" t="s">
        <v>304</v>
      </c>
      <c r="C219" s="5" t="s">
        <v>25</v>
      </c>
      <c r="D219" s="6" t="s">
        <v>305</v>
      </c>
      <c r="E219" s="5" t="s">
        <v>29</v>
      </c>
      <c r="F219" s="4">
        <v>10</v>
      </c>
      <c r="G219" s="4">
        <v>5.14</v>
      </c>
      <c r="H219" s="4"/>
      <c r="I219" s="73">
        <f t="shared" si="31"/>
        <v>5.14</v>
      </c>
      <c r="J219" s="77">
        <f t="shared" si="32"/>
        <v>51.4</v>
      </c>
    </row>
    <row r="220" spans="1:10" s="9" customFormat="1">
      <c r="A220"/>
      <c r="B220" s="84" t="s">
        <v>306</v>
      </c>
      <c r="C220" s="5" t="s">
        <v>25</v>
      </c>
      <c r="D220" s="6" t="s">
        <v>307</v>
      </c>
      <c r="E220" s="5" t="s">
        <v>29</v>
      </c>
      <c r="F220" s="4">
        <v>10</v>
      </c>
      <c r="G220" s="4">
        <v>7.92</v>
      </c>
      <c r="H220" s="4"/>
      <c r="I220" s="73">
        <f t="shared" si="31"/>
        <v>7.92</v>
      </c>
      <c r="J220" s="77">
        <f t="shared" si="32"/>
        <v>79.2</v>
      </c>
    </row>
    <row r="221" spans="1:10" s="53" customFormat="1" ht="38.25">
      <c r="A221" s="69"/>
      <c r="B221" s="70" t="s">
        <v>308</v>
      </c>
      <c r="C221" s="70" t="s">
        <v>16</v>
      </c>
      <c r="D221" s="71" t="s">
        <v>309</v>
      </c>
      <c r="E221" s="70" t="s">
        <v>29</v>
      </c>
      <c r="F221" s="73">
        <v>10</v>
      </c>
      <c r="G221" s="73">
        <v>45.01</v>
      </c>
      <c r="H221" s="73"/>
      <c r="I221" s="73">
        <f t="shared" ref="I221:I225" si="33">G221+H221</f>
        <v>45.01</v>
      </c>
      <c r="J221" s="77">
        <f t="shared" ref="J221:J225" si="34">F221*I221</f>
        <v>450.09999999999997</v>
      </c>
    </row>
    <row r="222" spans="1:10" s="53" customFormat="1" ht="25.5">
      <c r="A222" s="69"/>
      <c r="B222" s="70" t="s">
        <v>310</v>
      </c>
      <c r="C222" s="70" t="s">
        <v>16</v>
      </c>
      <c r="D222" s="71" t="s">
        <v>311</v>
      </c>
      <c r="E222" s="70" t="s">
        <v>29</v>
      </c>
      <c r="F222" s="73">
        <v>10</v>
      </c>
      <c r="G222" s="73">
        <v>53.02</v>
      </c>
      <c r="H222" s="73"/>
      <c r="I222" s="73">
        <f t="shared" si="33"/>
        <v>53.02</v>
      </c>
      <c r="J222" s="77">
        <f t="shared" si="34"/>
        <v>530.20000000000005</v>
      </c>
    </row>
    <row r="223" spans="1:10" s="53" customFormat="1" ht="25.5">
      <c r="A223" s="69"/>
      <c r="B223" s="70">
        <v>91953</v>
      </c>
      <c r="C223" s="70" t="s">
        <v>16</v>
      </c>
      <c r="D223" s="71" t="s">
        <v>312</v>
      </c>
      <c r="E223" s="70" t="s">
        <v>29</v>
      </c>
      <c r="F223" s="73">
        <v>10</v>
      </c>
      <c r="G223" s="73">
        <v>25.88</v>
      </c>
      <c r="H223" s="73"/>
      <c r="I223" s="73">
        <f t="shared" si="33"/>
        <v>25.88</v>
      </c>
      <c r="J223" s="77">
        <f t="shared" si="34"/>
        <v>258.8</v>
      </c>
    </row>
    <row r="224" spans="1:10" s="53" customFormat="1" ht="25.5">
      <c r="A224" s="69"/>
      <c r="B224" s="70">
        <v>91959</v>
      </c>
      <c r="C224" s="70" t="s">
        <v>16</v>
      </c>
      <c r="D224" s="71" t="s">
        <v>313</v>
      </c>
      <c r="E224" s="70" t="s">
        <v>29</v>
      </c>
      <c r="F224" s="73">
        <v>10</v>
      </c>
      <c r="G224" s="73">
        <v>39.450000000000003</v>
      </c>
      <c r="H224" s="73"/>
      <c r="I224" s="73">
        <f t="shared" si="33"/>
        <v>39.450000000000003</v>
      </c>
      <c r="J224" s="77">
        <f t="shared" si="34"/>
        <v>394.5</v>
      </c>
    </row>
    <row r="225" spans="1:53" s="9" customFormat="1">
      <c r="A225"/>
      <c r="B225" s="5" t="s">
        <v>314</v>
      </c>
      <c r="C225" s="5" t="s">
        <v>25</v>
      </c>
      <c r="D225" s="6" t="s">
        <v>315</v>
      </c>
      <c r="E225" s="5" t="s">
        <v>293</v>
      </c>
      <c r="F225" s="4">
        <v>20</v>
      </c>
      <c r="G225" s="4">
        <v>17.21</v>
      </c>
      <c r="H225" s="4"/>
      <c r="I225" s="73">
        <f t="shared" si="33"/>
        <v>17.21</v>
      </c>
      <c r="J225" s="77">
        <f t="shared" si="34"/>
        <v>344.20000000000005</v>
      </c>
    </row>
    <row r="226" spans="1:53" s="53" customFormat="1" ht="25.5">
      <c r="A226" s="69"/>
      <c r="B226" s="70" t="s">
        <v>316</v>
      </c>
      <c r="C226" s="70" t="s">
        <v>16</v>
      </c>
      <c r="D226" s="71" t="s">
        <v>317</v>
      </c>
      <c r="E226" s="70" t="s">
        <v>29</v>
      </c>
      <c r="F226" s="73">
        <v>10</v>
      </c>
      <c r="G226" s="73">
        <v>29.89</v>
      </c>
      <c r="H226" s="73"/>
      <c r="I226" s="73">
        <f t="shared" ref="I226:I233" si="35">G226+H226</f>
        <v>29.89</v>
      </c>
      <c r="J226" s="77">
        <f t="shared" ref="J226:J233" si="36">F226*I226</f>
        <v>298.89999999999998</v>
      </c>
    </row>
    <row r="227" spans="1:53" s="53" customFormat="1" ht="25.5">
      <c r="A227" s="69"/>
      <c r="B227" s="70">
        <v>92023</v>
      </c>
      <c r="C227" s="70" t="s">
        <v>16</v>
      </c>
      <c r="D227" s="71" t="s">
        <v>318</v>
      </c>
      <c r="E227" s="70" t="s">
        <v>29</v>
      </c>
      <c r="F227" s="73">
        <v>10</v>
      </c>
      <c r="G227" s="73">
        <v>44.03</v>
      </c>
      <c r="H227" s="73"/>
      <c r="I227" s="73">
        <f t="shared" si="35"/>
        <v>44.03</v>
      </c>
      <c r="J227" s="77">
        <f t="shared" si="36"/>
        <v>440.3</v>
      </c>
    </row>
    <row r="228" spans="1:53" s="53" customFormat="1" ht="25.5">
      <c r="A228" s="69"/>
      <c r="B228" s="70" t="s">
        <v>319</v>
      </c>
      <c r="C228" s="70" t="s">
        <v>16</v>
      </c>
      <c r="D228" s="71" t="s">
        <v>320</v>
      </c>
      <c r="E228" s="70" t="s">
        <v>18</v>
      </c>
      <c r="F228" s="73">
        <v>50</v>
      </c>
      <c r="G228" s="73">
        <v>14.98</v>
      </c>
      <c r="H228" s="73"/>
      <c r="I228" s="73">
        <f t="shared" si="35"/>
        <v>14.98</v>
      </c>
      <c r="J228" s="77">
        <f t="shared" si="36"/>
        <v>749</v>
      </c>
    </row>
    <row r="229" spans="1:53" s="53" customFormat="1" ht="25.5">
      <c r="A229" s="69"/>
      <c r="B229" s="70">
        <v>91924</v>
      </c>
      <c r="C229" s="70" t="s">
        <v>16</v>
      </c>
      <c r="D229" s="71" t="s">
        <v>321</v>
      </c>
      <c r="E229" s="70" t="s">
        <v>18</v>
      </c>
      <c r="F229" s="73">
        <v>50</v>
      </c>
      <c r="G229" s="73">
        <v>2.74</v>
      </c>
      <c r="H229" s="73"/>
      <c r="I229" s="73">
        <f t="shared" si="35"/>
        <v>2.74</v>
      </c>
      <c r="J229" s="77">
        <f t="shared" si="36"/>
        <v>137</v>
      </c>
    </row>
    <row r="230" spans="1:53" s="53" customFormat="1" ht="25.5">
      <c r="A230" s="69"/>
      <c r="B230" s="70" t="s">
        <v>322</v>
      </c>
      <c r="C230" s="70" t="s">
        <v>16</v>
      </c>
      <c r="D230" s="71" t="s">
        <v>323</v>
      </c>
      <c r="E230" s="70" t="s">
        <v>18</v>
      </c>
      <c r="F230" s="73">
        <v>50</v>
      </c>
      <c r="G230" s="73">
        <v>3.98</v>
      </c>
      <c r="H230" s="73"/>
      <c r="I230" s="73">
        <f t="shared" si="35"/>
        <v>3.98</v>
      </c>
      <c r="J230" s="77">
        <f t="shared" si="36"/>
        <v>199</v>
      </c>
    </row>
    <row r="231" spans="1:53" s="53" customFormat="1" ht="25.5">
      <c r="A231" s="69"/>
      <c r="B231" s="70" t="s">
        <v>324</v>
      </c>
      <c r="C231" s="70" t="s">
        <v>16</v>
      </c>
      <c r="D231" s="71" t="s">
        <v>325</v>
      </c>
      <c r="E231" s="70" t="s">
        <v>18</v>
      </c>
      <c r="F231" s="73">
        <v>50</v>
      </c>
      <c r="G231" s="73">
        <v>6.19</v>
      </c>
      <c r="H231" s="73"/>
      <c r="I231" s="73">
        <f t="shared" si="35"/>
        <v>6.19</v>
      </c>
      <c r="J231" s="77">
        <f t="shared" si="36"/>
        <v>309.5</v>
      </c>
    </row>
    <row r="232" spans="1:53" s="53" customFormat="1" ht="25.5">
      <c r="A232" s="69"/>
      <c r="B232" s="70" t="s">
        <v>326</v>
      </c>
      <c r="C232" s="70" t="s">
        <v>16</v>
      </c>
      <c r="D232" s="71" t="s">
        <v>327</v>
      </c>
      <c r="E232" s="70" t="s">
        <v>18</v>
      </c>
      <c r="F232" s="73">
        <v>50</v>
      </c>
      <c r="G232" s="73">
        <v>8.67</v>
      </c>
      <c r="H232" s="73"/>
      <c r="I232" s="73">
        <f t="shared" si="35"/>
        <v>8.67</v>
      </c>
      <c r="J232" s="77">
        <f t="shared" si="36"/>
        <v>433.5</v>
      </c>
    </row>
    <row r="233" spans="1:53" s="53" customFormat="1" ht="38.25">
      <c r="A233" s="69"/>
      <c r="B233" s="70" t="s">
        <v>328</v>
      </c>
      <c r="C233" s="70" t="s">
        <v>16</v>
      </c>
      <c r="D233" s="71" t="s">
        <v>329</v>
      </c>
      <c r="E233" s="70" t="s">
        <v>29</v>
      </c>
      <c r="F233" s="73">
        <v>2</v>
      </c>
      <c r="G233" s="73">
        <v>376.73</v>
      </c>
      <c r="H233" s="73"/>
      <c r="I233" s="73">
        <f t="shared" si="35"/>
        <v>376.73</v>
      </c>
      <c r="J233" s="77">
        <f t="shared" si="36"/>
        <v>753.46</v>
      </c>
    </row>
    <row r="234" spans="1:53" s="9" customFormat="1">
      <c r="A234"/>
      <c r="B234" s="61"/>
      <c r="C234" s="61"/>
      <c r="D234" s="58" t="s">
        <v>330</v>
      </c>
      <c r="E234" s="61"/>
      <c r="F234" s="61"/>
      <c r="G234" s="61"/>
      <c r="H234" s="61"/>
      <c r="I234" s="61"/>
      <c r="J234" s="79"/>
      <c r="K234" s="32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</row>
    <row r="235" spans="1:53" s="53" customFormat="1">
      <c r="A235" s="69"/>
      <c r="B235" s="70">
        <v>98307</v>
      </c>
      <c r="C235" s="70" t="s">
        <v>16</v>
      </c>
      <c r="D235" s="71" t="s">
        <v>331</v>
      </c>
      <c r="E235" s="70" t="s">
        <v>29</v>
      </c>
      <c r="F235" s="73">
        <v>15</v>
      </c>
      <c r="G235" s="73">
        <v>40.19</v>
      </c>
      <c r="H235" s="73"/>
      <c r="I235" s="73">
        <f t="shared" ref="I235:I237" si="37">G235+H235</f>
        <v>40.19</v>
      </c>
      <c r="J235" s="77">
        <f t="shared" ref="J235:J237" si="38">F235*I235</f>
        <v>602.84999999999991</v>
      </c>
    </row>
    <row r="236" spans="1:53" s="53" customFormat="1">
      <c r="A236" s="69"/>
      <c r="B236" s="70">
        <v>98308</v>
      </c>
      <c r="C236" s="70" t="s">
        <v>16</v>
      </c>
      <c r="D236" s="71" t="s">
        <v>332</v>
      </c>
      <c r="E236" s="70" t="s">
        <v>29</v>
      </c>
      <c r="F236" s="73">
        <v>15</v>
      </c>
      <c r="G236" s="73">
        <v>26.77</v>
      </c>
      <c r="H236" s="73"/>
      <c r="I236" s="73">
        <f t="shared" si="37"/>
        <v>26.77</v>
      </c>
      <c r="J236" s="77">
        <f t="shared" si="38"/>
        <v>401.55</v>
      </c>
    </row>
    <row r="237" spans="1:53" s="9" customFormat="1" ht="25.5">
      <c r="A237"/>
      <c r="B237" s="5">
        <v>98297</v>
      </c>
      <c r="C237" s="5" t="s">
        <v>16</v>
      </c>
      <c r="D237" s="6" t="s">
        <v>333</v>
      </c>
      <c r="E237" s="5" t="s">
        <v>18</v>
      </c>
      <c r="F237" s="4">
        <v>200</v>
      </c>
      <c r="G237" s="4">
        <v>8.98</v>
      </c>
      <c r="H237" s="4"/>
      <c r="I237" s="73">
        <f t="shared" si="37"/>
        <v>8.98</v>
      </c>
      <c r="J237" s="77">
        <f t="shared" si="38"/>
        <v>1796</v>
      </c>
    </row>
    <row r="238" spans="1:53" s="51" customFormat="1">
      <c r="A238" s="78"/>
      <c r="B238" s="61"/>
      <c r="C238" s="61"/>
      <c r="D238" s="58" t="s">
        <v>334</v>
      </c>
      <c r="E238" s="61"/>
      <c r="F238" s="61"/>
      <c r="G238" s="61"/>
      <c r="H238" s="61"/>
      <c r="I238" s="61"/>
      <c r="J238" s="79"/>
      <c r="K238" s="32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53">
      <c r="B239" s="4" t="s">
        <v>335</v>
      </c>
      <c r="C239" s="4" t="s">
        <v>68</v>
      </c>
      <c r="D239" s="6" t="s">
        <v>336</v>
      </c>
      <c r="E239" s="4" t="s">
        <v>337</v>
      </c>
      <c r="F239" s="4">
        <v>100</v>
      </c>
      <c r="G239" s="4">
        <v>343.12</v>
      </c>
      <c r="H239" s="4"/>
      <c r="I239" s="4"/>
      <c r="J239" s="28"/>
    </row>
    <row r="240" spans="1:53">
      <c r="B240" s="4"/>
      <c r="C240" s="4" t="s">
        <v>99</v>
      </c>
      <c r="D240" s="6" t="s">
        <v>338</v>
      </c>
      <c r="E240" s="4" t="s">
        <v>18</v>
      </c>
      <c r="F240" s="4">
        <v>200</v>
      </c>
      <c r="G240" s="4">
        <v>48</v>
      </c>
      <c r="H240" s="4"/>
      <c r="I240" s="4"/>
      <c r="J240" s="28"/>
    </row>
    <row r="241" spans="1:53">
      <c r="B241" s="4"/>
      <c r="C241" s="4" t="s">
        <v>99</v>
      </c>
      <c r="D241" s="6" t="s">
        <v>339</v>
      </c>
      <c r="E241" s="4" t="s">
        <v>18</v>
      </c>
      <c r="F241" s="4">
        <v>200</v>
      </c>
      <c r="G241" s="4">
        <v>68</v>
      </c>
      <c r="H241" s="4"/>
      <c r="I241" s="4"/>
      <c r="J241" s="28"/>
    </row>
    <row r="242" spans="1:53" s="53" customFormat="1" ht="38.25">
      <c r="A242" s="69"/>
      <c r="B242" s="73">
        <v>87530</v>
      </c>
      <c r="C242" s="73" t="s">
        <v>16</v>
      </c>
      <c r="D242" s="71" t="s">
        <v>340</v>
      </c>
      <c r="E242" s="73" t="s">
        <v>337</v>
      </c>
      <c r="F242" s="73">
        <v>30</v>
      </c>
      <c r="G242" s="73">
        <v>41.41</v>
      </c>
      <c r="H242" s="73"/>
      <c r="I242" s="73">
        <f t="shared" ref="I242:I245" si="39">G242+H242</f>
        <v>41.41</v>
      </c>
      <c r="J242" s="77">
        <f t="shared" ref="J242:J245" si="40">F242*I242</f>
        <v>1242.3</v>
      </c>
    </row>
    <row r="243" spans="1:53">
      <c r="B243" s="4">
        <v>4865</v>
      </c>
      <c r="C243" s="4" t="s">
        <v>259</v>
      </c>
      <c r="D243" s="6" t="s">
        <v>341</v>
      </c>
      <c r="E243" s="4" t="s">
        <v>18</v>
      </c>
      <c r="F243" s="4">
        <f>F16</f>
        <v>54.2</v>
      </c>
      <c r="G243" s="4">
        <v>16.350000000000001</v>
      </c>
      <c r="H243" s="4"/>
      <c r="I243" s="4"/>
      <c r="J243" s="28"/>
    </row>
    <row r="244" spans="1:53" s="53" customFormat="1" ht="38.25">
      <c r="A244" s="69"/>
      <c r="B244" s="73">
        <v>94965</v>
      </c>
      <c r="C244" s="73" t="s">
        <v>16</v>
      </c>
      <c r="D244" s="71" t="s">
        <v>342</v>
      </c>
      <c r="E244" s="73" t="s">
        <v>343</v>
      </c>
      <c r="F244" s="73">
        <v>5</v>
      </c>
      <c r="G244" s="73">
        <v>489.2</v>
      </c>
      <c r="H244" s="73"/>
      <c r="I244" s="73">
        <f t="shared" si="39"/>
        <v>489.2</v>
      </c>
      <c r="J244" s="77">
        <f t="shared" si="40"/>
        <v>2446</v>
      </c>
    </row>
    <row r="245" spans="1:53" s="9" customFormat="1" ht="25.5">
      <c r="A245"/>
      <c r="B245" s="4" t="s">
        <v>344</v>
      </c>
      <c r="C245" s="4" t="s">
        <v>16</v>
      </c>
      <c r="D245" s="6" t="s">
        <v>345</v>
      </c>
      <c r="E245" s="4" t="s">
        <v>18</v>
      </c>
      <c r="F245" s="4">
        <v>50</v>
      </c>
      <c r="G245" s="4">
        <v>22.53</v>
      </c>
      <c r="H245" s="4"/>
      <c r="I245" s="73">
        <f t="shared" si="39"/>
        <v>22.53</v>
      </c>
      <c r="J245" s="77">
        <f t="shared" si="40"/>
        <v>1126.5</v>
      </c>
    </row>
    <row r="246" spans="1:53" s="53" customFormat="1" ht="25.5">
      <c r="A246" s="69"/>
      <c r="B246" s="73">
        <v>30105</v>
      </c>
      <c r="C246" s="73" t="s">
        <v>346</v>
      </c>
      <c r="D246" s="71" t="s">
        <v>347</v>
      </c>
      <c r="E246" s="73" t="s">
        <v>343</v>
      </c>
      <c r="F246" s="73">
        <f>6*15</f>
        <v>90</v>
      </c>
      <c r="G246" s="73">
        <v>88.79</v>
      </c>
      <c r="H246" s="73"/>
      <c r="I246" s="73"/>
      <c r="J246" s="77"/>
      <c r="M246" s="80"/>
    </row>
    <row r="247" spans="1:53" s="51" customFormat="1">
      <c r="A247" s="78"/>
      <c r="B247" s="61"/>
      <c r="C247" s="61"/>
      <c r="D247" s="58" t="s">
        <v>348</v>
      </c>
      <c r="E247" s="61"/>
      <c r="F247" s="61"/>
      <c r="G247" s="61"/>
      <c r="H247" s="61"/>
      <c r="I247" s="61"/>
      <c r="J247" s="79"/>
      <c r="K247" s="81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53" s="53" customFormat="1" ht="38.25">
      <c r="A248" s="69"/>
      <c r="B248" s="76">
        <v>97586</v>
      </c>
      <c r="C248" s="70" t="s">
        <v>16</v>
      </c>
      <c r="D248" s="71" t="s">
        <v>349</v>
      </c>
      <c r="E248" s="76" t="s">
        <v>350</v>
      </c>
      <c r="F248" s="70">
        <v>12</v>
      </c>
      <c r="G248" s="70">
        <v>135.57</v>
      </c>
      <c r="H248" s="70"/>
      <c r="I248" s="73">
        <f t="shared" ref="I248:I252" si="41">G248+H248</f>
        <v>135.57</v>
      </c>
      <c r="J248" s="77">
        <f t="shared" ref="J248:J252" si="42">F248*I248</f>
        <v>1626.84</v>
      </c>
    </row>
    <row r="249" spans="1:53" s="9" customFormat="1" ht="15">
      <c r="A249"/>
      <c r="B249" s="59">
        <v>97593</v>
      </c>
      <c r="C249" s="5" t="s">
        <v>16</v>
      </c>
      <c r="D249" s="6" t="s">
        <v>351</v>
      </c>
      <c r="E249" s="59" t="s">
        <v>350</v>
      </c>
      <c r="F249" s="5">
        <v>12</v>
      </c>
      <c r="G249" s="5">
        <v>125.31</v>
      </c>
      <c r="H249" s="5"/>
      <c r="I249" s="73">
        <f t="shared" si="41"/>
        <v>125.31</v>
      </c>
      <c r="J249" s="77">
        <f t="shared" si="42"/>
        <v>1503.72</v>
      </c>
    </row>
    <row r="250" spans="1:53" s="9" customFormat="1" ht="25.5">
      <c r="A250"/>
      <c r="B250" s="59">
        <v>97590</v>
      </c>
      <c r="C250" s="5" t="s">
        <v>16</v>
      </c>
      <c r="D250" s="6" t="s">
        <v>352</v>
      </c>
      <c r="E250" s="59" t="s">
        <v>350</v>
      </c>
      <c r="F250" s="5">
        <v>12</v>
      </c>
      <c r="G250" s="5">
        <v>87.37</v>
      </c>
      <c r="H250" s="5"/>
      <c r="I250" s="73">
        <f t="shared" si="41"/>
        <v>87.37</v>
      </c>
      <c r="J250" s="77">
        <f t="shared" si="42"/>
        <v>1048.44</v>
      </c>
    </row>
    <row r="251" spans="1:53" s="9" customFormat="1" ht="25.5">
      <c r="A251"/>
      <c r="B251" s="59">
        <v>97610</v>
      </c>
      <c r="C251" s="5" t="s">
        <v>16</v>
      </c>
      <c r="D251" s="6" t="s">
        <v>353</v>
      </c>
      <c r="E251" s="59" t="s">
        <v>350</v>
      </c>
      <c r="F251" s="5">
        <v>20</v>
      </c>
      <c r="G251" s="5">
        <v>14.78</v>
      </c>
      <c r="H251" s="5"/>
      <c r="I251" s="73">
        <f t="shared" si="41"/>
        <v>14.78</v>
      </c>
      <c r="J251" s="77">
        <f t="shared" si="42"/>
        <v>295.59999999999997</v>
      </c>
    </row>
    <row r="252" spans="1:53" s="9" customFormat="1" ht="25.5">
      <c r="A252"/>
      <c r="B252" s="59">
        <v>97617</v>
      </c>
      <c r="C252" s="5" t="s">
        <v>16</v>
      </c>
      <c r="D252" s="6" t="s">
        <v>354</v>
      </c>
      <c r="E252" s="59" t="s">
        <v>350</v>
      </c>
      <c r="F252" s="5">
        <v>100</v>
      </c>
      <c r="G252" s="5">
        <v>53.34</v>
      </c>
      <c r="H252" s="5"/>
      <c r="I252" s="73">
        <f t="shared" si="41"/>
        <v>53.34</v>
      </c>
      <c r="J252" s="77">
        <f t="shared" si="42"/>
        <v>5334</v>
      </c>
    </row>
    <row r="253" spans="1:53" s="51" customFormat="1">
      <c r="A253" s="78"/>
      <c r="B253" s="61"/>
      <c r="C253" s="61"/>
      <c r="D253" s="58" t="s">
        <v>355</v>
      </c>
      <c r="E253" s="61"/>
      <c r="F253" s="61"/>
      <c r="G253" s="61"/>
      <c r="H253" s="61"/>
      <c r="I253" s="61"/>
      <c r="J253" s="79"/>
      <c r="K253" s="82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53" s="9" customFormat="1">
      <c r="A254"/>
      <c r="B254" s="5" t="s">
        <v>356</v>
      </c>
      <c r="C254" s="5" t="s">
        <v>357</v>
      </c>
      <c r="D254" s="6" t="s">
        <v>358</v>
      </c>
      <c r="E254" s="5" t="s">
        <v>359</v>
      </c>
      <c r="F254" s="4">
        <v>4</v>
      </c>
      <c r="G254" s="28">
        <v>10560</v>
      </c>
      <c r="H254" s="28"/>
      <c r="I254" s="73">
        <f>G254+H254</f>
        <v>10560</v>
      </c>
      <c r="J254" s="77">
        <f>F254*I254</f>
        <v>42240</v>
      </c>
    </row>
    <row r="255" spans="1:53" s="9" customFormat="1">
      <c r="A255"/>
      <c r="B255" s="5"/>
      <c r="C255" s="5"/>
      <c r="D255" s="6"/>
      <c r="E255" s="5"/>
      <c r="F255" s="49"/>
      <c r="G255" s="29"/>
      <c r="H255" s="29"/>
      <c r="I255" s="29"/>
      <c r="J255" s="28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</row>
    <row r="256" spans="1:53">
      <c r="B256" s="5"/>
      <c r="C256" s="5"/>
      <c r="D256" s="6"/>
      <c r="E256" s="5"/>
      <c r="F256" s="85" t="s">
        <v>360</v>
      </c>
      <c r="G256" s="86"/>
      <c r="H256" s="22"/>
      <c r="I256" s="22"/>
      <c r="J256" s="31">
        <f>SUM(J15:J254)</f>
        <v>542400.72416840016</v>
      </c>
      <c r="K256" s="32"/>
      <c r="M256">
        <f>24/100</f>
        <v>0.24</v>
      </c>
    </row>
    <row r="257" spans="2:12">
      <c r="B257" s="5"/>
      <c r="C257" s="5"/>
      <c r="D257" s="6"/>
      <c r="E257" s="5"/>
      <c r="F257" s="85" t="s">
        <v>361</v>
      </c>
      <c r="G257" s="86"/>
      <c r="H257" s="22"/>
      <c r="I257" s="22"/>
      <c r="J257" s="31">
        <f>BDI!B21*J256</f>
        <v>130176.17380041603</v>
      </c>
      <c r="K257" s="32"/>
      <c r="L257" s="32"/>
    </row>
    <row r="258" spans="2:12">
      <c r="B258" s="5"/>
      <c r="C258" s="5"/>
      <c r="D258" s="6"/>
      <c r="E258" s="5"/>
      <c r="F258" s="87" t="s">
        <v>362</v>
      </c>
      <c r="G258" s="88"/>
      <c r="H258" s="23"/>
      <c r="I258" s="23"/>
      <c r="J258" s="31">
        <f>SUM(J256:J257)</f>
        <v>672576.89796881622</v>
      </c>
      <c r="K258" s="32"/>
    </row>
    <row r="261" spans="2:12">
      <c r="D261" s="24" t="s">
        <v>363</v>
      </c>
    </row>
    <row r="262" spans="2:12">
      <c r="D262"/>
    </row>
    <row r="263" spans="2:12">
      <c r="D263" s="24" t="s">
        <v>364</v>
      </c>
    </row>
    <row r="264" spans="2:12">
      <c r="D264" s="24" t="s">
        <v>365</v>
      </c>
    </row>
    <row r="265" spans="2:12">
      <c r="D265" s="24" t="s">
        <v>366</v>
      </c>
    </row>
    <row r="266" spans="2:12">
      <c r="D266"/>
    </row>
    <row r="267" spans="2:12">
      <c r="D267" s="25" t="s">
        <v>367</v>
      </c>
    </row>
  </sheetData>
  <mergeCells count="3">
    <mergeCell ref="F256:G256"/>
    <mergeCell ref="F257:G257"/>
    <mergeCell ref="F258:G258"/>
  </mergeCells>
  <pageMargins left="0.75" right="0.75" top="1" bottom="1" header="0.5" footer="0.5"/>
  <pageSetup paperSize="9" scale="54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149"/>
  <sheetViews>
    <sheetView topLeftCell="B73" workbookViewId="0">
      <selection activeCell="V37" sqref="V37"/>
    </sheetView>
  </sheetViews>
  <sheetFormatPr defaultColWidth="9.140625" defaultRowHeight="12.75"/>
  <cols>
    <col min="4" max="4" width="16.7109375" customWidth="1"/>
    <col min="5" max="5" width="9.5703125"/>
    <col min="10" max="10" width="14.140625" customWidth="1"/>
    <col min="11" max="11" width="10.5703125"/>
    <col min="16" max="16" width="15.42578125" customWidth="1"/>
    <col min="17" max="17" width="11.7109375"/>
    <col min="22" max="22" width="15.7109375" customWidth="1"/>
    <col min="23" max="23" width="12.85546875" customWidth="1"/>
  </cols>
  <sheetData>
    <row r="3" spans="2:24">
      <c r="B3" s="89" t="s">
        <v>368</v>
      </c>
      <c r="C3" s="89"/>
      <c r="D3" s="89"/>
      <c r="E3" s="89"/>
      <c r="F3" s="89"/>
      <c r="H3" s="89" t="s">
        <v>369</v>
      </c>
      <c r="I3" s="89"/>
      <c r="J3" s="89"/>
      <c r="K3" s="89"/>
      <c r="L3" s="89"/>
      <c r="N3" s="89" t="s">
        <v>370</v>
      </c>
      <c r="O3" s="89"/>
      <c r="P3" s="89"/>
      <c r="Q3" s="89"/>
      <c r="R3" s="89"/>
      <c r="T3" s="89" t="s">
        <v>371</v>
      </c>
      <c r="U3" s="89"/>
      <c r="V3" s="89"/>
      <c r="W3" s="89"/>
      <c r="X3" s="89"/>
    </row>
    <row r="4" spans="2:24">
      <c r="B4" s="7" t="s">
        <v>372</v>
      </c>
      <c r="C4" s="90" t="s">
        <v>373</v>
      </c>
      <c r="D4" s="90"/>
      <c r="E4" s="7">
        <f>32.74</f>
        <v>32.74</v>
      </c>
      <c r="F4" s="7" t="s">
        <v>337</v>
      </c>
      <c r="H4" s="7" t="s">
        <v>372</v>
      </c>
      <c r="I4" s="90" t="s">
        <v>373</v>
      </c>
      <c r="J4" s="90"/>
      <c r="K4" s="7">
        <f>((6.28*2)+(5.21*2))-0.9</f>
        <v>22.080000000000002</v>
      </c>
      <c r="L4" s="7" t="s">
        <v>374</v>
      </c>
      <c r="N4" s="7" t="s">
        <v>372</v>
      </c>
      <c r="O4" s="90" t="s">
        <v>373</v>
      </c>
      <c r="P4" s="90"/>
      <c r="Q4" s="7">
        <f>K4*2.73</f>
        <v>60.278400000000005</v>
      </c>
      <c r="R4" s="7" t="s">
        <v>374</v>
      </c>
      <c r="T4" s="7" t="s">
        <v>372</v>
      </c>
      <c r="U4" s="90" t="s">
        <v>373</v>
      </c>
      <c r="V4" s="90"/>
      <c r="W4" s="7">
        <v>32.74</v>
      </c>
      <c r="X4" s="7" t="s">
        <v>374</v>
      </c>
    </row>
    <row r="5" spans="2:24">
      <c r="B5" s="7" t="s">
        <v>372</v>
      </c>
      <c r="C5" s="90" t="s">
        <v>375</v>
      </c>
      <c r="D5" s="90"/>
      <c r="E5" s="7">
        <f>((3.33*4.25)+(1.62*1.87))</f>
        <v>17.181899999999999</v>
      </c>
      <c r="F5" s="7" t="s">
        <v>337</v>
      </c>
      <c r="H5" s="7" t="s">
        <v>372</v>
      </c>
      <c r="I5" s="90" t="s">
        <v>375</v>
      </c>
      <c r="J5" s="90"/>
      <c r="K5" s="7">
        <f>((5.36+1.88+0.49+1.6+4.22+3.59)-1.8)</f>
        <v>15.34</v>
      </c>
      <c r="L5" s="7" t="s">
        <v>374</v>
      </c>
      <c r="N5" s="7" t="s">
        <v>372</v>
      </c>
      <c r="O5" s="90" t="s">
        <v>375</v>
      </c>
      <c r="P5" s="90"/>
      <c r="Q5" s="7">
        <f>K5*2.8</f>
        <v>42.951999999999998</v>
      </c>
      <c r="R5" s="7" t="s">
        <v>374</v>
      </c>
      <c r="T5" s="7" t="s">
        <v>372</v>
      </c>
      <c r="U5" s="90" t="s">
        <v>375</v>
      </c>
      <c r="V5" s="90"/>
      <c r="W5" s="7">
        <f>E5</f>
        <v>17.181899999999999</v>
      </c>
      <c r="X5" s="7" t="s">
        <v>374</v>
      </c>
    </row>
    <row r="6" spans="2:24">
      <c r="B6" s="7" t="s">
        <v>372</v>
      </c>
      <c r="C6" s="90" t="s">
        <v>376</v>
      </c>
      <c r="D6" s="90"/>
      <c r="E6" s="7">
        <f>(2.57*5.11)+26.88</f>
        <v>40.012699999999995</v>
      </c>
      <c r="F6" s="7" t="s">
        <v>337</v>
      </c>
      <c r="H6" s="7" t="s">
        <v>372</v>
      </c>
      <c r="I6" s="90" t="s">
        <v>376</v>
      </c>
      <c r="J6" s="90"/>
      <c r="K6" s="7">
        <f>((2.57*2)+(5.11*2)+(10.47*2)+(2.55*2))</f>
        <v>41.4</v>
      </c>
      <c r="L6" s="7" t="s">
        <v>374</v>
      </c>
      <c r="N6" s="7" t="s">
        <v>372</v>
      </c>
      <c r="O6" s="90" t="s">
        <v>376</v>
      </c>
      <c r="P6" s="90"/>
      <c r="Q6" s="7">
        <f>K6*2.7</f>
        <v>111.78</v>
      </c>
      <c r="R6" s="7" t="s">
        <v>374</v>
      </c>
      <c r="T6" s="7" t="s">
        <v>372</v>
      </c>
      <c r="U6" s="90" t="s">
        <v>376</v>
      </c>
      <c r="V6" s="90"/>
      <c r="W6" s="7">
        <f>E6</f>
        <v>40.012699999999995</v>
      </c>
      <c r="X6" s="7" t="s">
        <v>374</v>
      </c>
    </row>
    <row r="7" spans="2:24">
      <c r="B7" s="7" t="s">
        <v>372</v>
      </c>
      <c r="C7" s="90" t="s">
        <v>377</v>
      </c>
      <c r="D7" s="90"/>
      <c r="E7" s="7">
        <f>((1.26*0.2*8)+(1.26*0.15*9)+(1.4*2.35)+(1.08*0.32*9)+(1.08*0.15*9))</f>
        <v>11.5754</v>
      </c>
      <c r="F7" s="7" t="s">
        <v>337</v>
      </c>
      <c r="H7" s="7" t="s">
        <v>372</v>
      </c>
      <c r="I7" s="90" t="s">
        <v>377</v>
      </c>
      <c r="J7" s="90"/>
      <c r="K7" s="7">
        <v>27.18</v>
      </c>
      <c r="L7" s="7" t="s">
        <v>374</v>
      </c>
      <c r="N7" s="7" t="s">
        <v>372</v>
      </c>
      <c r="O7" s="90" t="s">
        <v>377</v>
      </c>
      <c r="P7" s="90"/>
      <c r="Q7" s="7"/>
      <c r="R7" s="7" t="s">
        <v>374</v>
      </c>
      <c r="T7" s="7" t="s">
        <v>372</v>
      </c>
      <c r="U7" s="90" t="s">
        <v>377</v>
      </c>
      <c r="V7" s="90"/>
      <c r="W7" s="7">
        <f t="shared" ref="W7:W33" si="0">E7</f>
        <v>11.5754</v>
      </c>
      <c r="X7" s="7" t="s">
        <v>374</v>
      </c>
    </row>
    <row r="8" spans="2:24">
      <c r="B8" s="7" t="s">
        <v>378</v>
      </c>
      <c r="C8" s="90" t="s">
        <v>379</v>
      </c>
      <c r="D8" s="90"/>
      <c r="E8" s="7">
        <f>7.07+15.83+2.94</f>
        <v>25.84</v>
      </c>
      <c r="F8" s="7" t="s">
        <v>337</v>
      </c>
      <c r="H8" s="7" t="s">
        <v>378</v>
      </c>
      <c r="I8" s="90" t="s">
        <v>379</v>
      </c>
      <c r="J8" s="90"/>
      <c r="K8" s="7">
        <v>27.18</v>
      </c>
      <c r="L8" s="7" t="s">
        <v>374</v>
      </c>
      <c r="N8" s="7" t="s">
        <v>378</v>
      </c>
      <c r="O8" s="90" t="s">
        <v>379</v>
      </c>
      <c r="P8" s="90"/>
      <c r="Q8" s="7">
        <f>K8*2.76</f>
        <v>75.016799999999989</v>
      </c>
      <c r="R8" s="7" t="s">
        <v>374</v>
      </c>
      <c r="T8" s="7" t="s">
        <v>378</v>
      </c>
      <c r="U8" s="90" t="s">
        <v>379</v>
      </c>
      <c r="V8" s="90"/>
      <c r="W8" s="7">
        <f t="shared" si="0"/>
        <v>25.84</v>
      </c>
      <c r="X8" s="7" t="s">
        <v>374</v>
      </c>
    </row>
    <row r="9" spans="2:24">
      <c r="B9" s="7" t="s">
        <v>378</v>
      </c>
      <c r="C9" s="90" t="s">
        <v>380</v>
      </c>
      <c r="D9" s="90"/>
      <c r="E9" s="7">
        <f>14.204+7.33+4.5</f>
        <v>26.033999999999999</v>
      </c>
      <c r="F9" s="7" t="s">
        <v>337</v>
      </c>
      <c r="H9" s="7" t="s">
        <v>378</v>
      </c>
      <c r="I9" s="90" t="s">
        <v>380</v>
      </c>
      <c r="J9" s="90"/>
      <c r="K9" s="7">
        <f>((3.29*2)+(4.32*2)+5.1+5.17)</f>
        <v>25.490000000000002</v>
      </c>
      <c r="L9" s="7" t="s">
        <v>374</v>
      </c>
      <c r="N9" s="7" t="s">
        <v>378</v>
      </c>
      <c r="O9" s="90" t="s">
        <v>380</v>
      </c>
      <c r="P9" s="90"/>
      <c r="Q9" s="7">
        <f>K9*2.76</f>
        <v>70.352400000000003</v>
      </c>
      <c r="R9" s="7" t="s">
        <v>374</v>
      </c>
      <c r="T9" s="7" t="s">
        <v>378</v>
      </c>
      <c r="U9" s="90" t="s">
        <v>380</v>
      </c>
      <c r="V9" s="90"/>
      <c r="W9" s="7">
        <f t="shared" si="0"/>
        <v>26.033999999999999</v>
      </c>
      <c r="X9" s="7" t="s">
        <v>374</v>
      </c>
    </row>
    <row r="10" spans="2:24">
      <c r="B10" s="7" t="s">
        <v>378</v>
      </c>
      <c r="C10" s="90" t="s">
        <v>381</v>
      </c>
      <c r="D10" s="90"/>
      <c r="E10" s="7">
        <f>1.67*6.76</f>
        <v>11.289199999999999</v>
      </c>
      <c r="F10" s="7" t="s">
        <v>337</v>
      </c>
      <c r="H10" s="7" t="s">
        <v>378</v>
      </c>
      <c r="I10" s="90" t="s">
        <v>381</v>
      </c>
      <c r="J10" s="90"/>
      <c r="K10" s="7">
        <f>((1.67*2)+(6.76*2))</f>
        <v>16.86</v>
      </c>
      <c r="L10" s="7" t="s">
        <v>374</v>
      </c>
      <c r="N10" s="7" t="s">
        <v>378</v>
      </c>
      <c r="O10" s="90" t="s">
        <v>381</v>
      </c>
      <c r="P10" s="90"/>
      <c r="Q10" s="7">
        <f>K10*2.7</f>
        <v>45.521999999999998</v>
      </c>
      <c r="R10" s="7" t="s">
        <v>374</v>
      </c>
      <c r="T10" s="7" t="s">
        <v>378</v>
      </c>
      <c r="U10" s="90" t="s">
        <v>381</v>
      </c>
      <c r="V10" s="90"/>
      <c r="W10" s="7">
        <f t="shared" si="0"/>
        <v>11.289199999999999</v>
      </c>
      <c r="X10" s="7" t="s">
        <v>374</v>
      </c>
    </row>
    <row r="11" spans="2:24">
      <c r="B11" s="7" t="s">
        <v>378</v>
      </c>
      <c r="C11" s="90" t="s">
        <v>382</v>
      </c>
      <c r="D11" s="90"/>
      <c r="E11" s="7">
        <f>3.34*2.48</f>
        <v>8.283199999999999</v>
      </c>
      <c r="F11" s="7" t="s">
        <v>337</v>
      </c>
      <c r="H11" s="7" t="s">
        <v>378</v>
      </c>
      <c r="I11" s="90" t="s">
        <v>382</v>
      </c>
      <c r="J11" s="90"/>
      <c r="K11" s="7">
        <f>((3.34*2)+(2.48*2))</f>
        <v>11.64</v>
      </c>
      <c r="L11" s="7" t="s">
        <v>374</v>
      </c>
      <c r="N11" s="7" t="s">
        <v>378</v>
      </c>
      <c r="O11" s="90" t="s">
        <v>382</v>
      </c>
      <c r="P11" s="90"/>
      <c r="Q11" s="7">
        <f>K11*2.7</f>
        <v>31.428000000000004</v>
      </c>
      <c r="R11" s="7" t="s">
        <v>374</v>
      </c>
      <c r="T11" s="7" t="s">
        <v>378</v>
      </c>
      <c r="U11" s="90" t="s">
        <v>382</v>
      </c>
      <c r="V11" s="90"/>
      <c r="W11" s="7">
        <f t="shared" si="0"/>
        <v>8.283199999999999</v>
      </c>
      <c r="X11" s="7" t="s">
        <v>374</v>
      </c>
    </row>
    <row r="12" spans="2:24">
      <c r="B12" s="7" t="s">
        <v>378</v>
      </c>
      <c r="C12" s="90" t="s">
        <v>383</v>
      </c>
      <c r="D12" s="90"/>
      <c r="E12" s="7">
        <f>1.89*2.62</f>
        <v>4.9517999999999995</v>
      </c>
      <c r="F12" s="7" t="s">
        <v>337</v>
      </c>
      <c r="H12" s="7" t="s">
        <v>378</v>
      </c>
      <c r="I12" s="90" t="s">
        <v>383</v>
      </c>
      <c r="J12" s="90"/>
      <c r="K12" s="7">
        <f>1.89+2.62</f>
        <v>4.51</v>
      </c>
      <c r="L12" s="7" t="s">
        <v>374</v>
      </c>
      <c r="N12" s="7" t="s">
        <v>378</v>
      </c>
      <c r="O12" s="90" t="s">
        <v>383</v>
      </c>
      <c r="P12" s="90"/>
      <c r="Q12" s="7">
        <f>K12*2.7</f>
        <v>12.177</v>
      </c>
      <c r="R12" s="7" t="s">
        <v>374</v>
      </c>
      <c r="T12" s="7" t="s">
        <v>378</v>
      </c>
      <c r="U12" s="90" t="s">
        <v>383</v>
      </c>
      <c r="V12" s="90"/>
      <c r="W12" s="7">
        <f t="shared" si="0"/>
        <v>4.9517999999999995</v>
      </c>
      <c r="X12" s="7" t="s">
        <v>374</v>
      </c>
    </row>
    <row r="13" spans="2:24">
      <c r="B13" s="7" t="s">
        <v>378</v>
      </c>
      <c r="C13" s="90" t="s">
        <v>384</v>
      </c>
      <c r="D13" s="90"/>
      <c r="E13" s="7">
        <f>5.46*4.59</f>
        <v>25.061399999999999</v>
      </c>
      <c r="F13" s="7" t="s">
        <v>337</v>
      </c>
      <c r="H13" s="7" t="s">
        <v>378</v>
      </c>
      <c r="I13" s="90" t="s">
        <v>384</v>
      </c>
      <c r="J13" s="90"/>
      <c r="K13" s="7">
        <f>((5.46*2)+(4.59*2))</f>
        <v>20.100000000000001</v>
      </c>
      <c r="L13" s="7" t="s">
        <v>374</v>
      </c>
      <c r="N13" s="7" t="s">
        <v>378</v>
      </c>
      <c r="O13" s="90" t="s">
        <v>384</v>
      </c>
      <c r="P13" s="90"/>
      <c r="Q13" s="7">
        <f>K14*2.6</f>
        <v>67.652000000000015</v>
      </c>
      <c r="R13" s="7" t="s">
        <v>374</v>
      </c>
      <c r="T13" s="7" t="s">
        <v>378</v>
      </c>
      <c r="U13" s="90" t="s">
        <v>384</v>
      </c>
      <c r="V13" s="90"/>
      <c r="W13" s="7">
        <f t="shared" si="0"/>
        <v>25.061399999999999</v>
      </c>
      <c r="X13" s="7" t="s">
        <v>374</v>
      </c>
    </row>
    <row r="14" spans="2:24">
      <c r="B14" s="7" t="s">
        <v>378</v>
      </c>
      <c r="C14" s="90" t="s">
        <v>385</v>
      </c>
      <c r="D14" s="90"/>
      <c r="E14" s="7">
        <f>((3.49*4.11)+(1.3*4.11))</f>
        <v>19.686900000000001</v>
      </c>
      <c r="F14" s="7" t="s">
        <v>337</v>
      </c>
      <c r="H14" s="7" t="s">
        <v>378</v>
      </c>
      <c r="I14" s="90" t="s">
        <v>385</v>
      </c>
      <c r="J14" s="90"/>
      <c r="K14" s="7">
        <f>((3.49*2)+(4.11*2)+(4.11*2)+(1.3*2))</f>
        <v>26.020000000000003</v>
      </c>
      <c r="L14" s="7" t="s">
        <v>374</v>
      </c>
      <c r="N14" s="7" t="s">
        <v>378</v>
      </c>
      <c r="O14" s="90" t="s">
        <v>385</v>
      </c>
      <c r="P14" s="90"/>
      <c r="Q14" s="7">
        <f t="shared" ref="Q14:Q20" si="1">K14*2.7</f>
        <v>70.254000000000019</v>
      </c>
      <c r="R14" s="7" t="s">
        <v>374</v>
      </c>
      <c r="T14" s="7" t="s">
        <v>378</v>
      </c>
      <c r="U14" s="90" t="s">
        <v>385</v>
      </c>
      <c r="V14" s="90"/>
      <c r="W14" s="7">
        <f t="shared" si="0"/>
        <v>19.686900000000001</v>
      </c>
      <c r="X14" s="7" t="s">
        <v>374</v>
      </c>
    </row>
    <row r="15" spans="2:24">
      <c r="B15" s="7" t="s">
        <v>378</v>
      </c>
      <c r="C15" s="90" t="s">
        <v>386</v>
      </c>
      <c r="D15" s="90"/>
      <c r="E15" s="7">
        <f>((4.68*2.36)+(6.29*2.4))</f>
        <v>26.140799999999999</v>
      </c>
      <c r="F15" s="7" t="s">
        <v>337</v>
      </c>
      <c r="H15" s="7" t="s">
        <v>378</v>
      </c>
      <c r="I15" s="90" t="s">
        <v>386</v>
      </c>
      <c r="J15" s="90"/>
      <c r="K15" s="7">
        <f>((4.68*2)+(2.36*2)+(6.29*2)+(2.4*2))</f>
        <v>31.459999999999997</v>
      </c>
      <c r="L15" s="7" t="s">
        <v>374</v>
      </c>
      <c r="N15" s="7" t="s">
        <v>378</v>
      </c>
      <c r="O15" s="90" t="s">
        <v>386</v>
      </c>
      <c r="P15" s="90"/>
      <c r="Q15" s="7">
        <f t="shared" si="1"/>
        <v>84.941999999999993</v>
      </c>
      <c r="R15" s="7" t="s">
        <v>374</v>
      </c>
      <c r="T15" s="7" t="s">
        <v>378</v>
      </c>
      <c r="U15" s="90" t="s">
        <v>386</v>
      </c>
      <c r="V15" s="90"/>
      <c r="W15" s="7">
        <f t="shared" si="0"/>
        <v>26.140799999999999</v>
      </c>
      <c r="X15" s="7" t="s">
        <v>374</v>
      </c>
    </row>
    <row r="16" spans="2:24">
      <c r="B16" s="7" t="s">
        <v>378</v>
      </c>
      <c r="C16" s="90" t="s">
        <v>387</v>
      </c>
      <c r="D16" s="90"/>
      <c r="E16" s="7">
        <f>4.03*3.58</f>
        <v>14.4274</v>
      </c>
      <c r="F16" s="7" t="s">
        <v>337</v>
      </c>
      <c r="H16" s="7" t="s">
        <v>378</v>
      </c>
      <c r="I16" s="90" t="s">
        <v>387</v>
      </c>
      <c r="J16" s="90"/>
      <c r="K16" s="7">
        <f>((4.03*2)+(3.58*2))</f>
        <v>15.22</v>
      </c>
      <c r="L16" s="7" t="s">
        <v>374</v>
      </c>
      <c r="N16" s="7" t="s">
        <v>378</v>
      </c>
      <c r="O16" s="90" t="s">
        <v>387</v>
      </c>
      <c r="P16" s="90"/>
      <c r="Q16" s="7">
        <f t="shared" si="1"/>
        <v>41.094000000000001</v>
      </c>
      <c r="R16" s="7" t="s">
        <v>374</v>
      </c>
      <c r="T16" s="7" t="s">
        <v>378</v>
      </c>
      <c r="U16" s="90" t="s">
        <v>387</v>
      </c>
      <c r="V16" s="90"/>
      <c r="W16" s="7">
        <f t="shared" si="0"/>
        <v>14.4274</v>
      </c>
      <c r="X16" s="7" t="s">
        <v>374</v>
      </c>
    </row>
    <row r="17" spans="2:24">
      <c r="B17" s="7" t="s">
        <v>378</v>
      </c>
      <c r="C17" s="90" t="s">
        <v>388</v>
      </c>
      <c r="D17" s="90"/>
      <c r="E17" s="7">
        <f>6.45*3.86</f>
        <v>24.896999999999998</v>
      </c>
      <c r="F17" s="7" t="s">
        <v>337</v>
      </c>
      <c r="H17" s="7" t="s">
        <v>378</v>
      </c>
      <c r="I17" s="90" t="s">
        <v>388</v>
      </c>
      <c r="J17" s="90"/>
      <c r="K17" s="7">
        <f>((6.45*2)+(3.86*2))</f>
        <v>20.62</v>
      </c>
      <c r="L17" s="7" t="s">
        <v>374</v>
      </c>
      <c r="N17" s="7" t="s">
        <v>378</v>
      </c>
      <c r="O17" s="90" t="s">
        <v>388</v>
      </c>
      <c r="P17" s="90"/>
      <c r="Q17" s="7">
        <f t="shared" si="1"/>
        <v>55.674000000000007</v>
      </c>
      <c r="R17" s="7" t="s">
        <v>374</v>
      </c>
      <c r="T17" s="7" t="s">
        <v>378</v>
      </c>
      <c r="U17" s="90" t="s">
        <v>388</v>
      </c>
      <c r="V17" s="90"/>
      <c r="W17" s="7">
        <f t="shared" si="0"/>
        <v>24.896999999999998</v>
      </c>
      <c r="X17" s="7" t="s">
        <v>374</v>
      </c>
    </row>
    <row r="18" spans="2:24">
      <c r="B18" s="7" t="s">
        <v>378</v>
      </c>
      <c r="C18" s="90" t="s">
        <v>389</v>
      </c>
      <c r="D18" s="90"/>
      <c r="E18" s="7">
        <f>6.41*2.43</f>
        <v>15.576300000000002</v>
      </c>
      <c r="F18" s="7" t="s">
        <v>337</v>
      </c>
      <c r="H18" s="7" t="s">
        <v>378</v>
      </c>
      <c r="I18" s="90" t="s">
        <v>389</v>
      </c>
      <c r="J18" s="90"/>
      <c r="K18" s="7">
        <f>((2.43*2)+(6.41*2))</f>
        <v>17.68</v>
      </c>
      <c r="L18" s="7" t="s">
        <v>374</v>
      </c>
      <c r="N18" s="7" t="s">
        <v>378</v>
      </c>
      <c r="O18" s="90" t="s">
        <v>389</v>
      </c>
      <c r="P18" s="90"/>
      <c r="Q18" s="7">
        <f t="shared" si="1"/>
        <v>47.736000000000004</v>
      </c>
      <c r="R18" s="7" t="s">
        <v>374</v>
      </c>
      <c r="T18" s="7" t="s">
        <v>378</v>
      </c>
      <c r="U18" s="90" t="s">
        <v>389</v>
      </c>
      <c r="V18" s="90"/>
      <c r="W18" s="7">
        <f t="shared" si="0"/>
        <v>15.576300000000002</v>
      </c>
      <c r="X18" s="7" t="s">
        <v>374</v>
      </c>
    </row>
    <row r="19" spans="2:24">
      <c r="B19" s="7" t="s">
        <v>378</v>
      </c>
      <c r="C19" s="90" t="s">
        <v>390</v>
      </c>
      <c r="D19" s="90"/>
      <c r="E19" s="7">
        <f>4.064*3.36</f>
        <v>13.65504</v>
      </c>
      <c r="F19" s="7" t="s">
        <v>337</v>
      </c>
      <c r="H19" s="7" t="s">
        <v>378</v>
      </c>
      <c r="I19" s="90" t="s">
        <v>390</v>
      </c>
      <c r="J19" s="90"/>
      <c r="K19" s="7">
        <f>((4.064*2)+(3.36*2))</f>
        <v>14.847999999999999</v>
      </c>
      <c r="L19" s="7" t="s">
        <v>374</v>
      </c>
      <c r="N19" s="7" t="s">
        <v>378</v>
      </c>
      <c r="O19" s="90" t="s">
        <v>390</v>
      </c>
      <c r="P19" s="90"/>
      <c r="Q19" s="7">
        <f t="shared" si="1"/>
        <v>40.089599999999997</v>
      </c>
      <c r="R19" s="7" t="s">
        <v>374</v>
      </c>
      <c r="T19" s="7" t="s">
        <v>378</v>
      </c>
      <c r="U19" s="90" t="s">
        <v>390</v>
      </c>
      <c r="V19" s="90"/>
      <c r="W19" s="7">
        <f t="shared" si="0"/>
        <v>13.65504</v>
      </c>
      <c r="X19" s="7" t="s">
        <v>374</v>
      </c>
    </row>
    <row r="20" spans="2:24">
      <c r="B20" s="7" t="s">
        <v>378</v>
      </c>
      <c r="C20" s="90" t="s">
        <v>391</v>
      </c>
      <c r="D20" s="90"/>
      <c r="E20" s="7">
        <f>4.84*3.22</f>
        <v>15.584800000000001</v>
      </c>
      <c r="F20" s="7" t="s">
        <v>337</v>
      </c>
      <c r="H20" s="7" t="s">
        <v>378</v>
      </c>
      <c r="I20" s="90" t="s">
        <v>391</v>
      </c>
      <c r="J20" s="90"/>
      <c r="K20" s="7">
        <f>((4.84*2)+(3.22*2))</f>
        <v>16.12</v>
      </c>
      <c r="L20" s="7" t="s">
        <v>374</v>
      </c>
      <c r="N20" s="7" t="s">
        <v>378</v>
      </c>
      <c r="O20" s="90" t="s">
        <v>391</v>
      </c>
      <c r="P20" s="90"/>
      <c r="Q20" s="7">
        <f t="shared" si="1"/>
        <v>43.524000000000008</v>
      </c>
      <c r="R20" s="7" t="s">
        <v>374</v>
      </c>
      <c r="T20" s="7" t="s">
        <v>378</v>
      </c>
      <c r="U20" s="90" t="s">
        <v>391</v>
      </c>
      <c r="V20" s="90"/>
      <c r="W20" s="7">
        <f t="shared" si="0"/>
        <v>15.584800000000001</v>
      </c>
      <c r="X20" s="7" t="s">
        <v>374</v>
      </c>
    </row>
    <row r="21" spans="2:24">
      <c r="B21" s="7" t="s">
        <v>378</v>
      </c>
      <c r="C21" s="90" t="s">
        <v>377</v>
      </c>
      <c r="D21" s="90"/>
      <c r="E21" s="7">
        <f>((1.26*0.2*8)+(1.26*0.15*9)+(1.4*2.35)+(1.08*0.32*9)+(1.08*0.15*9))</f>
        <v>11.5754</v>
      </c>
      <c r="F21" s="7" t="s">
        <v>337</v>
      </c>
      <c r="H21" s="7" t="s">
        <v>378</v>
      </c>
      <c r="I21" s="90" t="s">
        <v>377</v>
      </c>
      <c r="J21" s="90"/>
      <c r="K21" s="7">
        <f>2.9+1.14+1.14+2.35+2.9</f>
        <v>10.43</v>
      </c>
      <c r="L21" s="7" t="s">
        <v>374</v>
      </c>
      <c r="N21" s="7" t="s">
        <v>378</v>
      </c>
      <c r="O21" s="90" t="s">
        <v>377</v>
      </c>
      <c r="P21" s="90"/>
      <c r="Q21" s="7">
        <f>K22*2.7</f>
        <v>114.0642</v>
      </c>
      <c r="R21" s="7" t="s">
        <v>374</v>
      </c>
      <c r="T21" s="7" t="s">
        <v>378</v>
      </c>
      <c r="U21" s="90" t="s">
        <v>377</v>
      </c>
      <c r="V21" s="90"/>
      <c r="W21" s="7">
        <f t="shared" si="0"/>
        <v>11.5754</v>
      </c>
      <c r="X21" s="7" t="s">
        <v>374</v>
      </c>
    </row>
    <row r="22" spans="2:24">
      <c r="B22" s="7" t="s">
        <v>392</v>
      </c>
      <c r="C22" s="90" t="s">
        <v>393</v>
      </c>
      <c r="D22" s="90"/>
      <c r="E22" s="7">
        <f>((5.54*2.97)+(5.26*2.95)+(2.91*2.88)+(2.34*1.98)+(1.87*7.018))</f>
        <v>58.108460000000008</v>
      </c>
      <c r="F22" s="7" t="s">
        <v>337</v>
      </c>
      <c r="H22" s="7" t="s">
        <v>392</v>
      </c>
      <c r="I22" s="90" t="s">
        <v>393</v>
      </c>
      <c r="J22" s="90"/>
      <c r="K22" s="7">
        <f>7.018+7.018+10.7+2.11+4.1+1.17+5.55+1.89+2.69</f>
        <v>42.245999999999995</v>
      </c>
      <c r="L22" s="7" t="s">
        <v>374</v>
      </c>
      <c r="N22" s="7" t="s">
        <v>392</v>
      </c>
      <c r="O22" s="90" t="s">
        <v>393</v>
      </c>
      <c r="P22" s="90"/>
      <c r="Q22" s="7">
        <f>K22*2.7</f>
        <v>114.0642</v>
      </c>
      <c r="R22" s="7" t="s">
        <v>374</v>
      </c>
      <c r="T22" s="7" t="s">
        <v>392</v>
      </c>
      <c r="U22" s="90" t="s">
        <v>393</v>
      </c>
      <c r="V22" s="90"/>
      <c r="W22" s="7">
        <f t="shared" si="0"/>
        <v>58.108460000000008</v>
      </c>
      <c r="X22" s="7" t="s">
        <v>374</v>
      </c>
    </row>
    <row r="23" spans="2:24">
      <c r="B23" s="7" t="s">
        <v>392</v>
      </c>
      <c r="C23" s="90" t="s">
        <v>394</v>
      </c>
      <c r="D23" s="90"/>
      <c r="E23" s="7">
        <f>3.13*2.01</f>
        <v>6.2912999999999988</v>
      </c>
      <c r="F23" s="7" t="s">
        <v>337</v>
      </c>
      <c r="H23" s="7" t="s">
        <v>392</v>
      </c>
      <c r="I23" s="90" t="s">
        <v>394</v>
      </c>
      <c r="J23" s="90"/>
      <c r="K23" s="7"/>
      <c r="L23" s="7" t="s">
        <v>374</v>
      </c>
      <c r="N23" s="7" t="s">
        <v>392</v>
      </c>
      <c r="O23" s="90" t="s">
        <v>394</v>
      </c>
      <c r="P23" s="90"/>
      <c r="Q23" s="7"/>
      <c r="R23" s="7" t="s">
        <v>374</v>
      </c>
      <c r="T23" s="7" t="s">
        <v>392</v>
      </c>
      <c r="U23" s="90" t="s">
        <v>394</v>
      </c>
      <c r="V23" s="90"/>
      <c r="W23" s="7">
        <f t="shared" si="0"/>
        <v>6.2912999999999988</v>
      </c>
      <c r="X23" s="7" t="s">
        <v>374</v>
      </c>
    </row>
    <row r="24" spans="2:24">
      <c r="B24" s="7" t="s">
        <v>392</v>
      </c>
      <c r="C24" s="90" t="s">
        <v>395</v>
      </c>
      <c r="D24" s="90"/>
      <c r="E24" s="7">
        <f>(4.09*2.15)+3</f>
        <v>11.7935</v>
      </c>
      <c r="F24" s="7" t="s">
        <v>337</v>
      </c>
      <c r="H24" s="7" t="s">
        <v>392</v>
      </c>
      <c r="I24" s="90" t="s">
        <v>395</v>
      </c>
      <c r="J24" s="90"/>
      <c r="K24" s="7">
        <f>2+5.6+3.5</f>
        <v>11.1</v>
      </c>
      <c r="L24" s="7" t="s">
        <v>374</v>
      </c>
      <c r="N24" s="7" t="s">
        <v>392</v>
      </c>
      <c r="O24" s="90" t="s">
        <v>395</v>
      </c>
      <c r="P24" s="90"/>
      <c r="Q24" s="7"/>
      <c r="R24" s="7" t="s">
        <v>374</v>
      </c>
      <c r="T24" s="7" t="s">
        <v>392</v>
      </c>
      <c r="U24" s="90" t="s">
        <v>395</v>
      </c>
      <c r="V24" s="90"/>
      <c r="W24" s="7">
        <f t="shared" si="0"/>
        <v>11.7935</v>
      </c>
      <c r="X24" s="7" t="s">
        <v>374</v>
      </c>
    </row>
    <row r="25" spans="2:24">
      <c r="B25" s="7" t="s">
        <v>392</v>
      </c>
      <c r="C25" s="90" t="s">
        <v>396</v>
      </c>
      <c r="D25" s="90"/>
      <c r="E25" s="7">
        <f>7.098*1.87</f>
        <v>13.273260000000001</v>
      </c>
      <c r="F25" s="7" t="s">
        <v>337</v>
      </c>
      <c r="H25" s="7" t="s">
        <v>392</v>
      </c>
      <c r="I25" s="90" t="s">
        <v>396</v>
      </c>
      <c r="J25" s="90"/>
      <c r="K25" s="7">
        <f>7.098*1.87</f>
        <v>13.273260000000001</v>
      </c>
      <c r="L25" s="7" t="s">
        <v>374</v>
      </c>
      <c r="N25" s="7" t="s">
        <v>392</v>
      </c>
      <c r="O25" s="90" t="s">
        <v>396</v>
      </c>
      <c r="P25" s="90"/>
      <c r="Q25" s="7"/>
      <c r="R25" s="7" t="s">
        <v>374</v>
      </c>
      <c r="T25" s="7" t="s">
        <v>392</v>
      </c>
      <c r="U25" s="90" t="s">
        <v>396</v>
      </c>
      <c r="V25" s="90"/>
      <c r="W25" s="7">
        <f t="shared" si="0"/>
        <v>13.273260000000001</v>
      </c>
      <c r="X25" s="7" t="s">
        <v>374</v>
      </c>
    </row>
    <row r="26" spans="2:24">
      <c r="B26" s="7" t="s">
        <v>392</v>
      </c>
      <c r="C26" s="90" t="s">
        <v>397</v>
      </c>
      <c r="D26" s="90"/>
      <c r="E26" s="7">
        <f>3.22*1.02</f>
        <v>3.2844000000000002</v>
      </c>
      <c r="F26" s="7" t="s">
        <v>337</v>
      </c>
      <c r="H26" s="7" t="s">
        <v>392</v>
      </c>
      <c r="I26" s="90" t="s">
        <v>397</v>
      </c>
      <c r="J26" s="90"/>
      <c r="K26" s="7">
        <f>3.22*2</f>
        <v>6.44</v>
      </c>
      <c r="L26" s="7" t="s">
        <v>374</v>
      </c>
      <c r="N26" s="7" t="s">
        <v>392</v>
      </c>
      <c r="O26" s="90" t="s">
        <v>397</v>
      </c>
      <c r="P26" s="90"/>
      <c r="Q26" s="7">
        <f>K26*2.7</f>
        <v>17.388000000000002</v>
      </c>
      <c r="R26" s="7" t="s">
        <v>374</v>
      </c>
      <c r="T26" s="7" t="s">
        <v>392</v>
      </c>
      <c r="U26" s="90" t="s">
        <v>397</v>
      </c>
      <c r="V26" s="90"/>
      <c r="W26" s="7">
        <f t="shared" si="0"/>
        <v>3.2844000000000002</v>
      </c>
      <c r="X26" s="7" t="s">
        <v>374</v>
      </c>
    </row>
    <row r="27" spans="2:24">
      <c r="B27" s="7" t="s">
        <v>392</v>
      </c>
      <c r="C27" s="90" t="s">
        <v>398</v>
      </c>
      <c r="D27" s="90"/>
      <c r="E27" s="7">
        <v>4</v>
      </c>
      <c r="F27" s="7" t="s">
        <v>337</v>
      </c>
      <c r="H27" s="7" t="s">
        <v>392</v>
      </c>
      <c r="I27" s="90" t="s">
        <v>398</v>
      </c>
      <c r="J27" s="90"/>
      <c r="K27" s="7">
        <v>5.5</v>
      </c>
      <c r="L27" s="7" t="s">
        <v>374</v>
      </c>
      <c r="N27" s="7" t="s">
        <v>392</v>
      </c>
      <c r="O27" s="90" t="s">
        <v>398</v>
      </c>
      <c r="P27" s="90"/>
      <c r="Q27" s="7">
        <f>K27*2.7</f>
        <v>14.850000000000001</v>
      </c>
      <c r="R27" s="7" t="s">
        <v>374</v>
      </c>
      <c r="T27" s="7" t="s">
        <v>392</v>
      </c>
      <c r="U27" s="90" t="s">
        <v>398</v>
      </c>
      <c r="V27" s="90"/>
      <c r="W27" s="7">
        <f t="shared" si="0"/>
        <v>4</v>
      </c>
      <c r="X27" s="7" t="s">
        <v>374</v>
      </c>
    </row>
    <row r="28" spans="2:24">
      <c r="B28" s="7" t="s">
        <v>392</v>
      </c>
      <c r="C28" s="90" t="s">
        <v>399</v>
      </c>
      <c r="D28" s="90"/>
      <c r="E28" s="7">
        <f>3.72*6.96</f>
        <v>25.891200000000001</v>
      </c>
      <c r="F28" s="7" t="s">
        <v>337</v>
      </c>
      <c r="H28" s="7" t="s">
        <v>392</v>
      </c>
      <c r="I28" s="90" t="s">
        <v>399</v>
      </c>
      <c r="J28" s="90"/>
      <c r="K28" s="7">
        <f>((3.72*2)+(6.96*2))*1.1</f>
        <v>23.496000000000002</v>
      </c>
      <c r="L28" s="7" t="s">
        <v>374</v>
      </c>
      <c r="N28" s="7" t="s">
        <v>392</v>
      </c>
      <c r="O28" s="90" t="s">
        <v>399</v>
      </c>
      <c r="P28" s="90"/>
      <c r="Q28" s="7">
        <f>K28*2.7</f>
        <v>63.439200000000007</v>
      </c>
      <c r="R28" s="7" t="s">
        <v>374</v>
      </c>
      <c r="T28" s="7" t="s">
        <v>392</v>
      </c>
      <c r="U28" s="90" t="s">
        <v>399</v>
      </c>
      <c r="V28" s="90"/>
      <c r="W28" s="7">
        <f t="shared" si="0"/>
        <v>25.891200000000001</v>
      </c>
      <c r="X28" s="7" t="s">
        <v>374</v>
      </c>
    </row>
    <row r="29" spans="2:24">
      <c r="B29" s="7" t="s">
        <v>392</v>
      </c>
      <c r="C29" s="90" t="s">
        <v>400</v>
      </c>
      <c r="D29" s="90"/>
      <c r="E29" s="7">
        <f>6.84*4.95</f>
        <v>33.857999999999997</v>
      </c>
      <c r="F29" s="7" t="s">
        <v>337</v>
      </c>
      <c r="H29" s="7" t="s">
        <v>392</v>
      </c>
      <c r="I29" s="90" t="s">
        <v>400</v>
      </c>
      <c r="J29" s="90"/>
      <c r="K29" s="7">
        <f>4.95+6.91+3.5+5.7</f>
        <v>21.06</v>
      </c>
      <c r="L29" s="7" t="s">
        <v>374</v>
      </c>
      <c r="N29" s="7" t="s">
        <v>392</v>
      </c>
      <c r="O29" s="90" t="s">
        <v>400</v>
      </c>
      <c r="P29" s="90"/>
      <c r="Q29" s="7">
        <f>10.75*2.7</f>
        <v>29.025000000000002</v>
      </c>
      <c r="R29" s="7" t="s">
        <v>374</v>
      </c>
      <c r="T29" s="7" t="s">
        <v>392</v>
      </c>
      <c r="U29" s="90" t="s">
        <v>400</v>
      </c>
      <c r="V29" s="90"/>
      <c r="W29" s="7">
        <f t="shared" si="0"/>
        <v>33.857999999999997</v>
      </c>
      <c r="X29" s="7" t="s">
        <v>374</v>
      </c>
    </row>
    <row r="30" spans="2:24">
      <c r="B30" s="7" t="s">
        <v>392</v>
      </c>
      <c r="C30" s="90" t="s">
        <v>401</v>
      </c>
      <c r="D30" s="90"/>
      <c r="E30" s="7">
        <f>6.011*1.54</f>
        <v>9.2569400000000002</v>
      </c>
      <c r="F30" s="7" t="s">
        <v>337</v>
      </c>
      <c r="H30" s="7" t="s">
        <v>392</v>
      </c>
      <c r="I30" s="90" t="s">
        <v>401</v>
      </c>
      <c r="J30" s="90"/>
      <c r="K30" s="7">
        <f>6.011*2</f>
        <v>12.022</v>
      </c>
      <c r="L30" s="7" t="s">
        <v>374</v>
      </c>
      <c r="N30" s="7" t="s">
        <v>392</v>
      </c>
      <c r="O30" s="90" t="s">
        <v>401</v>
      </c>
      <c r="P30" s="90"/>
      <c r="Q30" s="7">
        <f>K30*3</f>
        <v>36.066000000000003</v>
      </c>
      <c r="R30" s="7" t="s">
        <v>374</v>
      </c>
      <c r="T30" s="7" t="s">
        <v>392</v>
      </c>
      <c r="U30" s="90" t="s">
        <v>401</v>
      </c>
      <c r="V30" s="90"/>
      <c r="W30" s="7">
        <f t="shared" si="0"/>
        <v>9.2569400000000002</v>
      </c>
      <c r="X30" s="7" t="s">
        <v>374</v>
      </c>
    </row>
    <row r="31" spans="2:24">
      <c r="B31" s="7" t="s">
        <v>392</v>
      </c>
      <c r="C31" s="90" t="s">
        <v>402</v>
      </c>
      <c r="D31" s="90"/>
      <c r="E31" s="7">
        <f>3.04*3.98</f>
        <v>12.0992</v>
      </c>
      <c r="F31" s="7" t="s">
        <v>337</v>
      </c>
      <c r="H31" s="7" t="s">
        <v>392</v>
      </c>
      <c r="I31" s="90" t="s">
        <v>402</v>
      </c>
      <c r="J31" s="90"/>
      <c r="K31" s="7"/>
      <c r="L31" s="7" t="s">
        <v>374</v>
      </c>
      <c r="N31" s="7" t="s">
        <v>392</v>
      </c>
      <c r="O31" s="90" t="s">
        <v>403</v>
      </c>
      <c r="P31" s="90"/>
      <c r="Q31" s="7">
        <f>((3.26*2)+(3.5*2)+(2.24*2)+(1.89*2))*2.7</f>
        <v>58.806000000000004</v>
      </c>
      <c r="R31" s="7" t="s">
        <v>374</v>
      </c>
      <c r="T31" s="7" t="s">
        <v>392</v>
      </c>
      <c r="U31" s="90" t="s">
        <v>403</v>
      </c>
      <c r="V31" s="90"/>
      <c r="W31" s="7">
        <f t="shared" si="0"/>
        <v>12.0992</v>
      </c>
      <c r="X31" s="7" t="s">
        <v>374</v>
      </c>
    </row>
    <row r="32" spans="2:24">
      <c r="B32" s="7" t="s">
        <v>392</v>
      </c>
      <c r="C32" s="90" t="s">
        <v>402</v>
      </c>
      <c r="D32" s="90"/>
      <c r="E32" s="7">
        <v>4.75</v>
      </c>
      <c r="F32" s="7" t="s">
        <v>337</v>
      </c>
      <c r="H32" s="7" t="s">
        <v>392</v>
      </c>
      <c r="I32" s="90" t="s">
        <v>402</v>
      </c>
      <c r="J32" s="90"/>
      <c r="K32" s="7">
        <f>3.04+3.98+2+2+4+4+3</f>
        <v>22.02</v>
      </c>
      <c r="L32" s="7" t="s">
        <v>374</v>
      </c>
      <c r="N32" s="7" t="s">
        <v>392</v>
      </c>
      <c r="O32" s="90" t="s">
        <v>402</v>
      </c>
      <c r="P32" s="90"/>
      <c r="Q32" s="7">
        <f>K32*2.7</f>
        <v>59.454000000000001</v>
      </c>
      <c r="R32" s="7" t="s">
        <v>374</v>
      </c>
      <c r="T32" s="7" t="s">
        <v>392</v>
      </c>
      <c r="U32" s="90" t="s">
        <v>402</v>
      </c>
      <c r="V32" s="90"/>
      <c r="W32" s="7">
        <f>E32+E31</f>
        <v>16.8492</v>
      </c>
      <c r="X32" s="7" t="s">
        <v>374</v>
      </c>
    </row>
    <row r="33" spans="2:24">
      <c r="B33" s="7" t="s">
        <v>392</v>
      </c>
      <c r="C33" s="90" t="s">
        <v>404</v>
      </c>
      <c r="D33" s="90"/>
      <c r="E33" s="7">
        <v>13.75</v>
      </c>
      <c r="F33" s="7" t="s">
        <v>337</v>
      </c>
      <c r="H33" s="7" t="s">
        <v>392</v>
      </c>
      <c r="I33" s="90" t="s">
        <v>404</v>
      </c>
      <c r="J33" s="90"/>
      <c r="K33" s="7">
        <v>26.75</v>
      </c>
      <c r="L33" s="7" t="s">
        <v>374</v>
      </c>
      <c r="N33" s="7" t="s">
        <v>392</v>
      </c>
      <c r="O33" s="90" t="s">
        <v>404</v>
      </c>
      <c r="P33" s="90"/>
      <c r="Q33" s="7"/>
      <c r="R33" s="7" t="s">
        <v>374</v>
      </c>
      <c r="T33" s="7" t="s">
        <v>392</v>
      </c>
      <c r="U33" s="90" t="s">
        <v>404</v>
      </c>
      <c r="V33" s="90"/>
      <c r="W33" s="7">
        <f t="shared" si="0"/>
        <v>13.75</v>
      </c>
      <c r="X33" s="7" t="s">
        <v>374</v>
      </c>
    </row>
    <row r="34" spans="2:24">
      <c r="B34" s="7" t="s">
        <v>392</v>
      </c>
      <c r="C34" s="7" t="s">
        <v>405</v>
      </c>
      <c r="D34" s="7"/>
      <c r="E34" s="7">
        <f>((2.23*3.19)+(1.85*1.43))</f>
        <v>9.7591999999999999</v>
      </c>
      <c r="F34" s="7"/>
      <c r="H34" s="7" t="s">
        <v>392</v>
      </c>
      <c r="I34" s="7" t="s">
        <v>405</v>
      </c>
      <c r="J34" s="7"/>
      <c r="K34" s="7"/>
      <c r="L34" s="7" t="s">
        <v>374</v>
      </c>
      <c r="N34" s="7" t="s">
        <v>392</v>
      </c>
      <c r="O34" s="7" t="s">
        <v>405</v>
      </c>
      <c r="P34" s="7"/>
      <c r="Q34" s="7"/>
      <c r="R34" s="7" t="s">
        <v>374</v>
      </c>
      <c r="T34" s="7" t="s">
        <v>392</v>
      </c>
      <c r="U34" s="7" t="s">
        <v>405</v>
      </c>
      <c r="V34" s="7"/>
      <c r="W34" s="7">
        <f>2.34+2.45+5.34+2.5+12.004</f>
        <v>24.634</v>
      </c>
      <c r="X34" s="7" t="s">
        <v>374</v>
      </c>
    </row>
    <row r="35" spans="2:24">
      <c r="B35" s="7" t="s">
        <v>392</v>
      </c>
      <c r="C35" s="7" t="s">
        <v>406</v>
      </c>
      <c r="D35" s="7"/>
      <c r="E35" s="7">
        <f>((3.18*1.88)+(1.48*1.76))</f>
        <v>8.5831999999999997</v>
      </c>
      <c r="F35" s="7"/>
      <c r="H35" s="7" t="s">
        <v>392</v>
      </c>
      <c r="I35" s="7" t="s">
        <v>406</v>
      </c>
      <c r="J35" s="7"/>
      <c r="K35" s="7"/>
      <c r="L35" s="7" t="s">
        <v>374</v>
      </c>
      <c r="N35" s="7" t="s">
        <v>392</v>
      </c>
      <c r="O35" s="7" t="s">
        <v>406</v>
      </c>
      <c r="P35" s="7"/>
      <c r="Q35" s="7"/>
      <c r="R35" s="7" t="s">
        <v>374</v>
      </c>
      <c r="T35" s="7" t="s">
        <v>392</v>
      </c>
      <c r="U35" s="7" t="s">
        <v>406</v>
      </c>
      <c r="V35" s="7"/>
      <c r="W35" s="7">
        <v>2.33</v>
      </c>
      <c r="X35" s="7" t="s">
        <v>374</v>
      </c>
    </row>
    <row r="36" spans="2:24">
      <c r="B36" s="7"/>
      <c r="C36" s="7"/>
      <c r="D36" s="7"/>
      <c r="E36" s="7"/>
      <c r="F36" s="7"/>
      <c r="H36" s="7"/>
      <c r="I36" s="7"/>
      <c r="J36" s="7"/>
      <c r="K36" s="7"/>
      <c r="L36" s="7"/>
      <c r="N36" s="7"/>
      <c r="O36" s="7"/>
      <c r="P36" s="7"/>
      <c r="Q36" s="7"/>
      <c r="R36" s="7"/>
      <c r="T36" s="7"/>
      <c r="U36" s="7"/>
      <c r="V36" s="7"/>
      <c r="W36" s="7"/>
      <c r="X36" s="7"/>
    </row>
    <row r="37" spans="2:24">
      <c r="B37" s="7"/>
      <c r="C37" s="7"/>
      <c r="D37" s="7" t="s">
        <v>407</v>
      </c>
      <c r="E37" s="46">
        <f>SUM(E4:E35)</f>
        <v>559.2118999999999</v>
      </c>
      <c r="F37" s="7"/>
      <c r="H37" s="7"/>
      <c r="I37" s="7"/>
      <c r="J37" s="7" t="s">
        <v>407</v>
      </c>
      <c r="K37" s="46">
        <f>SUM(K4:K35)</f>
        <v>548.08526000000006</v>
      </c>
      <c r="L37" s="7"/>
      <c r="N37" s="7"/>
      <c r="O37" s="7"/>
      <c r="P37" s="47" t="s">
        <v>407</v>
      </c>
      <c r="Q37" s="48">
        <f>SUM(Q4:Q35)*1.25</f>
        <v>1759.5360000000001</v>
      </c>
      <c r="R37" s="7"/>
      <c r="T37" s="7"/>
      <c r="U37" s="7"/>
      <c r="V37" s="47" t="s">
        <v>407</v>
      </c>
      <c r="W37" s="46">
        <f>SUM(W4:W35)*1.25</f>
        <v>724.91587499999991</v>
      </c>
      <c r="X37" s="7"/>
    </row>
    <row r="41" spans="2:24">
      <c r="B41" s="89" t="s">
        <v>408</v>
      </c>
      <c r="C41" s="89"/>
      <c r="D41" s="89"/>
      <c r="E41" s="89"/>
      <c r="F41" s="89"/>
      <c r="H41" s="89" t="s">
        <v>409</v>
      </c>
      <c r="I41" s="89"/>
      <c r="J41" s="89"/>
      <c r="K41" s="89"/>
      <c r="L41" s="89"/>
      <c r="N41" s="89" t="s">
        <v>410</v>
      </c>
      <c r="O41" s="89"/>
      <c r="P41" s="89"/>
      <c r="Q41" s="89"/>
      <c r="R41" s="89"/>
      <c r="T41" s="89" t="s">
        <v>411</v>
      </c>
      <c r="U41" s="89"/>
      <c r="V41" s="89"/>
      <c r="W41" s="89"/>
      <c r="X41" s="89"/>
    </row>
    <row r="42" spans="2:24">
      <c r="B42" s="7" t="s">
        <v>372</v>
      </c>
      <c r="C42" s="90" t="s">
        <v>373</v>
      </c>
      <c r="D42" s="90"/>
      <c r="E42" s="7">
        <v>2</v>
      </c>
      <c r="F42" s="7" t="s">
        <v>374</v>
      </c>
      <c r="H42" s="7" t="s">
        <v>372</v>
      </c>
      <c r="I42" s="90" t="s">
        <v>373</v>
      </c>
      <c r="J42" s="90"/>
      <c r="K42" s="7">
        <f>(((2.19*2.99)+(2.02*2.99)+2.04)*2.13)-Q42</f>
        <v>27.597926999999999</v>
      </c>
      <c r="L42" s="7" t="s">
        <v>374</v>
      </c>
      <c r="N42" s="7" t="s">
        <v>372</v>
      </c>
      <c r="O42" s="90" t="s">
        <v>373</v>
      </c>
      <c r="P42" s="90"/>
      <c r="Q42" s="7">
        <f>(1.15+1.12+1.12)*1.05</f>
        <v>3.5595000000000003</v>
      </c>
      <c r="R42" s="7" t="s">
        <v>374</v>
      </c>
      <c r="T42" s="7" t="s">
        <v>372</v>
      </c>
      <c r="U42" s="90" t="s">
        <v>373</v>
      </c>
      <c r="V42" s="90"/>
      <c r="W42" s="7">
        <f>2*1.4</f>
        <v>2.8</v>
      </c>
      <c r="X42" s="7" t="s">
        <v>374</v>
      </c>
    </row>
    <row r="43" spans="2:24">
      <c r="B43" s="7" t="s">
        <v>372</v>
      </c>
      <c r="C43" s="90" t="s">
        <v>375</v>
      </c>
      <c r="D43" s="90"/>
      <c r="E43" s="7">
        <f>1.43+1.6+1.4</f>
        <v>4.43</v>
      </c>
      <c r="F43" s="7"/>
      <c r="H43" s="7" t="s">
        <v>372</v>
      </c>
      <c r="I43" s="90" t="s">
        <v>375</v>
      </c>
      <c r="J43" s="90"/>
      <c r="K43" s="7"/>
      <c r="L43" s="7"/>
      <c r="N43" s="7" t="s">
        <v>372</v>
      </c>
      <c r="O43" s="90" t="s">
        <v>375</v>
      </c>
      <c r="P43" s="90"/>
      <c r="Q43" s="7"/>
      <c r="R43" s="7"/>
      <c r="T43" s="7" t="s">
        <v>372</v>
      </c>
      <c r="U43" s="90" t="s">
        <v>375</v>
      </c>
      <c r="V43" s="90"/>
      <c r="W43" s="7"/>
      <c r="X43" s="7"/>
    </row>
    <row r="44" spans="2:24">
      <c r="B44" s="7" t="s">
        <v>372</v>
      </c>
      <c r="C44" s="90" t="s">
        <v>376</v>
      </c>
      <c r="D44" s="90"/>
      <c r="E44" s="7">
        <f>1.7+1.17</f>
        <v>2.87</v>
      </c>
      <c r="F44" s="7"/>
      <c r="H44" s="7" t="s">
        <v>372</v>
      </c>
      <c r="I44" s="90" t="s">
        <v>376</v>
      </c>
      <c r="J44" s="90"/>
      <c r="K44" s="7">
        <f>(2.57*2.1)-Q44</f>
        <v>3.7470000000000003</v>
      </c>
      <c r="L44" s="7"/>
      <c r="N44" s="7" t="s">
        <v>372</v>
      </c>
      <c r="O44" s="90" t="s">
        <v>376</v>
      </c>
      <c r="P44" s="90"/>
      <c r="Q44" s="7">
        <f>1.65*1</f>
        <v>1.65</v>
      </c>
      <c r="R44" s="7"/>
      <c r="T44" s="7" t="s">
        <v>372</v>
      </c>
      <c r="U44" s="90" t="s">
        <v>376</v>
      </c>
      <c r="V44" s="90"/>
      <c r="W44" s="7" t="s">
        <v>412</v>
      </c>
      <c r="X44" s="7"/>
    </row>
    <row r="45" spans="2:24">
      <c r="B45" s="7" t="s">
        <v>372</v>
      </c>
      <c r="C45" s="90" t="s">
        <v>377</v>
      </c>
      <c r="D45" s="90"/>
      <c r="E45" s="7"/>
      <c r="F45" s="7"/>
      <c r="H45" s="7" t="s">
        <v>372</v>
      </c>
      <c r="I45" s="90" t="s">
        <v>377</v>
      </c>
      <c r="J45" s="90"/>
      <c r="K45" s="7"/>
      <c r="L45" s="7"/>
      <c r="N45" s="7" t="s">
        <v>372</v>
      </c>
      <c r="O45" s="90" t="s">
        <v>377</v>
      </c>
      <c r="P45" s="90"/>
      <c r="Q45" s="7">
        <f>2.33+(1.17*0.77)</f>
        <v>3.2309000000000001</v>
      </c>
      <c r="R45" s="7"/>
      <c r="T45" s="7" t="s">
        <v>372</v>
      </c>
      <c r="U45" s="90" t="s">
        <v>377</v>
      </c>
      <c r="V45" s="90"/>
      <c r="W45" s="7">
        <f>((1.71*1.36)+(1.17*0.77))</f>
        <v>3.2265000000000001</v>
      </c>
      <c r="X45" s="7"/>
    </row>
    <row r="46" spans="2:24">
      <c r="B46" s="7" t="s">
        <v>378</v>
      </c>
      <c r="C46" s="90" t="s">
        <v>379</v>
      </c>
      <c r="D46" s="90"/>
      <c r="E46" s="7"/>
      <c r="F46" s="7"/>
      <c r="H46" s="7" t="s">
        <v>378</v>
      </c>
      <c r="I46" s="90" t="s">
        <v>379</v>
      </c>
      <c r="J46" s="90"/>
      <c r="K46" s="7"/>
      <c r="L46" s="7"/>
      <c r="N46" s="7" t="s">
        <v>378</v>
      </c>
      <c r="O46" s="90" t="s">
        <v>379</v>
      </c>
      <c r="P46" s="90"/>
      <c r="Q46" s="7"/>
      <c r="R46" s="7"/>
      <c r="T46" s="7" t="s">
        <v>378</v>
      </c>
      <c r="U46" s="90" t="s">
        <v>379</v>
      </c>
      <c r="V46" s="90"/>
      <c r="W46" s="7"/>
      <c r="X46" s="7"/>
    </row>
    <row r="47" spans="2:24">
      <c r="B47" s="7" t="s">
        <v>378</v>
      </c>
      <c r="C47" s="90" t="s">
        <v>380</v>
      </c>
      <c r="D47" s="90"/>
      <c r="E47" s="7"/>
      <c r="F47" s="7"/>
      <c r="H47" s="7" t="s">
        <v>378</v>
      </c>
      <c r="I47" s="90" t="s">
        <v>380</v>
      </c>
      <c r="J47" s="90"/>
      <c r="K47" s="7"/>
      <c r="L47" s="7"/>
      <c r="N47" s="7" t="s">
        <v>378</v>
      </c>
      <c r="O47" s="90" t="s">
        <v>380</v>
      </c>
      <c r="P47" s="90"/>
      <c r="Q47" s="7"/>
      <c r="R47" s="7"/>
      <c r="T47" s="7" t="s">
        <v>378</v>
      </c>
      <c r="U47" s="90" t="s">
        <v>380</v>
      </c>
      <c r="V47" s="90"/>
      <c r="W47" s="7"/>
      <c r="X47" s="7"/>
    </row>
    <row r="48" spans="2:24">
      <c r="B48" s="7" t="s">
        <v>378</v>
      </c>
      <c r="C48" s="90" t="s">
        <v>381</v>
      </c>
      <c r="D48" s="90"/>
      <c r="E48" s="7"/>
      <c r="F48" s="7"/>
      <c r="H48" s="7" t="s">
        <v>378</v>
      </c>
      <c r="I48" s="90" t="s">
        <v>381</v>
      </c>
      <c r="J48" s="90"/>
      <c r="K48" s="7"/>
      <c r="L48" s="7"/>
      <c r="N48" s="7" t="s">
        <v>378</v>
      </c>
      <c r="O48" s="90" t="s">
        <v>381</v>
      </c>
      <c r="P48" s="90"/>
      <c r="Q48" s="7"/>
      <c r="R48" s="7"/>
      <c r="T48" s="7" t="s">
        <v>378</v>
      </c>
      <c r="U48" s="90" t="s">
        <v>381</v>
      </c>
      <c r="V48" s="90"/>
      <c r="W48" s="7"/>
      <c r="X48" s="7"/>
    </row>
    <row r="49" spans="2:24">
      <c r="B49" s="7" t="s">
        <v>378</v>
      </c>
      <c r="C49" s="90" t="s">
        <v>382</v>
      </c>
      <c r="D49" s="90"/>
      <c r="E49" s="7"/>
      <c r="F49" s="7"/>
      <c r="H49" s="7" t="s">
        <v>378</v>
      </c>
      <c r="I49" s="90" t="s">
        <v>382</v>
      </c>
      <c r="J49" s="90"/>
      <c r="K49" s="7">
        <f>((3.33*2.7)*2.7)-Q49</f>
        <v>21.965700000000005</v>
      </c>
      <c r="L49" s="7"/>
      <c r="N49" s="7" t="s">
        <v>378</v>
      </c>
      <c r="O49" s="90" t="s">
        <v>382</v>
      </c>
      <c r="P49" s="90"/>
      <c r="Q49" s="7">
        <f>2.2*1.05</f>
        <v>2.3100000000000005</v>
      </c>
      <c r="R49" s="7"/>
      <c r="T49" s="7" t="s">
        <v>378</v>
      </c>
      <c r="U49" s="90" t="s">
        <v>382</v>
      </c>
      <c r="V49" s="90"/>
      <c r="W49" s="7"/>
      <c r="X49" s="7"/>
    </row>
    <row r="50" spans="2:24">
      <c r="B50" s="7" t="s">
        <v>378</v>
      </c>
      <c r="C50" s="90" t="s">
        <v>383</v>
      </c>
      <c r="D50" s="90"/>
      <c r="E50" s="7"/>
      <c r="F50" s="7"/>
      <c r="H50" s="7" t="s">
        <v>378</v>
      </c>
      <c r="I50" s="90" t="s">
        <v>383</v>
      </c>
      <c r="J50" s="90"/>
      <c r="K50" s="7">
        <f>(1.89*2.72*2.7)-Q50</f>
        <v>11.381160000000001</v>
      </c>
      <c r="L50" s="7"/>
      <c r="N50" s="7" t="s">
        <v>378</v>
      </c>
      <c r="O50" s="90" t="s">
        <v>383</v>
      </c>
      <c r="P50" s="90"/>
      <c r="Q50" s="7">
        <f>2.38*1.05</f>
        <v>2.4990000000000001</v>
      </c>
      <c r="R50" s="7"/>
      <c r="T50" s="7" t="s">
        <v>378</v>
      </c>
      <c r="U50" s="90" t="s">
        <v>383</v>
      </c>
      <c r="V50" s="90"/>
      <c r="W50" s="7"/>
      <c r="X50" s="7"/>
    </row>
    <row r="51" spans="2:24">
      <c r="B51" s="7" t="s">
        <v>378</v>
      </c>
      <c r="C51" s="90" t="s">
        <v>384</v>
      </c>
      <c r="D51" s="90"/>
      <c r="E51" s="7">
        <v>4.8899999999999997</v>
      </c>
      <c r="F51" s="7"/>
      <c r="H51" s="7" t="s">
        <v>378</v>
      </c>
      <c r="I51" s="90" t="s">
        <v>384</v>
      </c>
      <c r="J51" s="90"/>
      <c r="K51" s="7"/>
      <c r="L51" s="7"/>
      <c r="N51" s="7" t="s">
        <v>378</v>
      </c>
      <c r="O51" s="90" t="s">
        <v>384</v>
      </c>
      <c r="P51" s="90"/>
      <c r="Q51" s="7">
        <f>4.89*2.6</f>
        <v>12.714</v>
      </c>
      <c r="R51" s="7"/>
      <c r="T51" s="7" t="s">
        <v>378</v>
      </c>
      <c r="U51" s="90" t="s">
        <v>384</v>
      </c>
      <c r="V51" s="90"/>
      <c r="W51" s="7"/>
      <c r="X51" s="7"/>
    </row>
    <row r="52" spans="2:24">
      <c r="B52" s="7" t="s">
        <v>378</v>
      </c>
      <c r="C52" s="90" t="s">
        <v>385</v>
      </c>
      <c r="D52" s="90"/>
      <c r="E52" s="7"/>
      <c r="F52" s="7"/>
      <c r="H52" s="7" t="s">
        <v>378</v>
      </c>
      <c r="I52" s="90" t="s">
        <v>385</v>
      </c>
      <c r="J52" s="90"/>
      <c r="K52" s="7"/>
      <c r="L52" s="7"/>
      <c r="N52" s="7" t="s">
        <v>378</v>
      </c>
      <c r="O52" s="90" t="s">
        <v>385</v>
      </c>
      <c r="P52" s="90"/>
      <c r="Q52" s="7"/>
      <c r="R52" s="7"/>
      <c r="T52" s="7" t="s">
        <v>378</v>
      </c>
      <c r="U52" s="90" t="s">
        <v>385</v>
      </c>
      <c r="V52" s="90"/>
      <c r="W52" s="7">
        <f>1.49*2.3</f>
        <v>3.4269999999999996</v>
      </c>
      <c r="X52" s="7"/>
    </row>
    <row r="53" spans="2:24">
      <c r="B53" s="7" t="s">
        <v>378</v>
      </c>
      <c r="C53" s="90" t="s">
        <v>386</v>
      </c>
      <c r="D53" s="90"/>
      <c r="E53" s="7">
        <f>1.18+1.18+0.7</f>
        <v>3.0599999999999996</v>
      </c>
      <c r="F53" s="7"/>
      <c r="H53" s="7" t="s">
        <v>378</v>
      </c>
      <c r="I53" s="90" t="s">
        <v>386</v>
      </c>
      <c r="J53" s="90"/>
      <c r="K53" s="7">
        <v>3.38</v>
      </c>
      <c r="L53" s="7"/>
      <c r="N53" s="7" t="s">
        <v>378</v>
      </c>
      <c r="O53" s="90" t="s">
        <v>386</v>
      </c>
      <c r="P53" s="90"/>
      <c r="Q53" s="7">
        <f>((1.47*1.03)+(1.18*1.35)+(0.7*0.58))</f>
        <v>3.5131000000000001</v>
      </c>
      <c r="R53" s="7"/>
      <c r="T53" s="7" t="s">
        <v>378</v>
      </c>
      <c r="U53" s="90" t="s">
        <v>386</v>
      </c>
      <c r="V53" s="90"/>
      <c r="W53" s="7">
        <f>(1.18*1.35)*2</f>
        <v>3.1859999999999999</v>
      </c>
      <c r="X53" s="7"/>
    </row>
    <row r="54" spans="2:24">
      <c r="B54" s="7" t="s">
        <v>378</v>
      </c>
      <c r="C54" s="90" t="s">
        <v>387</v>
      </c>
      <c r="D54" s="90"/>
      <c r="E54" s="7">
        <v>1.5</v>
      </c>
      <c r="F54" s="7"/>
      <c r="H54" s="7" t="s">
        <v>378</v>
      </c>
      <c r="I54" s="90" t="s">
        <v>387</v>
      </c>
      <c r="J54" s="90"/>
      <c r="K54" s="7"/>
      <c r="L54" s="7"/>
      <c r="N54" s="7" t="s">
        <v>378</v>
      </c>
      <c r="O54" s="90" t="s">
        <v>387</v>
      </c>
      <c r="P54" s="90"/>
      <c r="Q54" s="7"/>
      <c r="R54" s="7"/>
      <c r="T54" s="7" t="s">
        <v>378</v>
      </c>
      <c r="U54" s="90" t="s">
        <v>387</v>
      </c>
      <c r="V54" s="90"/>
      <c r="W54" s="7">
        <f>1.5*1.4</f>
        <v>2.0999999999999996</v>
      </c>
      <c r="X54" s="7"/>
    </row>
    <row r="55" spans="2:24">
      <c r="B55" s="7" t="s">
        <v>378</v>
      </c>
      <c r="C55" s="90" t="s">
        <v>388</v>
      </c>
      <c r="D55" s="90"/>
      <c r="E55" s="7">
        <v>1.62</v>
      </c>
      <c r="F55" s="7"/>
      <c r="H55" s="7" t="s">
        <v>378</v>
      </c>
      <c r="I55" s="90" t="s">
        <v>388</v>
      </c>
      <c r="J55" s="90"/>
      <c r="K55" s="7"/>
      <c r="L55" s="7"/>
      <c r="N55" s="7" t="s">
        <v>378</v>
      </c>
      <c r="O55" s="90" t="s">
        <v>388</v>
      </c>
      <c r="P55" s="90"/>
      <c r="Q55" s="7"/>
      <c r="R55" s="7"/>
      <c r="T55" s="7" t="s">
        <v>378</v>
      </c>
      <c r="U55" s="90" t="s">
        <v>388</v>
      </c>
      <c r="V55" s="90"/>
      <c r="W55" s="7">
        <f>(1.62*1.4)+(0.6*0.4)</f>
        <v>2.508</v>
      </c>
      <c r="X55" s="7"/>
    </row>
    <row r="56" spans="2:24">
      <c r="B56" s="7" t="s">
        <v>378</v>
      </c>
      <c r="C56" s="90" t="s">
        <v>389</v>
      </c>
      <c r="D56" s="90"/>
      <c r="E56" s="7">
        <v>1.6</v>
      </c>
      <c r="F56" s="7"/>
      <c r="H56" s="7" t="s">
        <v>378</v>
      </c>
      <c r="I56" s="90" t="s">
        <v>389</v>
      </c>
      <c r="J56" s="90"/>
      <c r="K56" s="7"/>
      <c r="L56" s="7"/>
      <c r="N56" s="7" t="s">
        <v>378</v>
      </c>
      <c r="O56" s="90" t="s">
        <v>389</v>
      </c>
      <c r="P56" s="90"/>
      <c r="Q56" s="7"/>
      <c r="R56" s="7"/>
      <c r="T56" s="7" t="s">
        <v>378</v>
      </c>
      <c r="U56" s="90" t="s">
        <v>389</v>
      </c>
      <c r="V56" s="90"/>
      <c r="W56" s="7">
        <f>1.6*1.34</f>
        <v>2.1440000000000001</v>
      </c>
      <c r="X56" s="7"/>
    </row>
    <row r="57" spans="2:24">
      <c r="B57" s="7" t="s">
        <v>378</v>
      </c>
      <c r="C57" s="90" t="s">
        <v>390</v>
      </c>
      <c r="D57" s="90"/>
      <c r="E57" s="7">
        <v>1.52</v>
      </c>
      <c r="F57" s="7"/>
      <c r="H57" s="7" t="s">
        <v>378</v>
      </c>
      <c r="I57" s="90" t="s">
        <v>390</v>
      </c>
      <c r="J57" s="90"/>
      <c r="K57" s="7"/>
      <c r="L57" s="7"/>
      <c r="N57" s="7" t="s">
        <v>378</v>
      </c>
      <c r="O57" s="90" t="s">
        <v>390</v>
      </c>
      <c r="P57" s="90"/>
      <c r="Q57" s="7"/>
      <c r="R57" s="7"/>
      <c r="T57" s="7" t="s">
        <v>378</v>
      </c>
      <c r="U57" s="90" t="s">
        <v>390</v>
      </c>
      <c r="V57" s="90"/>
      <c r="W57" s="7">
        <f>1.52*1.4</f>
        <v>2.1279999999999997</v>
      </c>
      <c r="X57" s="7"/>
    </row>
    <row r="58" spans="2:24">
      <c r="B58" s="7" t="s">
        <v>378</v>
      </c>
      <c r="C58" s="90" t="s">
        <v>391</v>
      </c>
      <c r="D58" s="90"/>
      <c r="E58" s="7">
        <f>0.94*2</f>
        <v>1.88</v>
      </c>
      <c r="F58" s="7"/>
      <c r="H58" s="7" t="s">
        <v>378</v>
      </c>
      <c r="I58" s="90" t="s">
        <v>391</v>
      </c>
      <c r="J58" s="90"/>
      <c r="K58" s="7"/>
      <c r="L58" s="7"/>
      <c r="N58" s="7" t="s">
        <v>378</v>
      </c>
      <c r="O58" s="90" t="s">
        <v>391</v>
      </c>
      <c r="P58" s="90"/>
      <c r="Q58" s="7">
        <f>3.21*2.2</f>
        <v>7.0620000000000003</v>
      </c>
      <c r="R58" s="7"/>
      <c r="T58" s="7" t="s">
        <v>378</v>
      </c>
      <c r="U58" s="90" t="s">
        <v>391</v>
      </c>
      <c r="V58" s="90"/>
      <c r="W58" s="7">
        <f>0.94*1.5*2</f>
        <v>2.82</v>
      </c>
      <c r="X58" s="7"/>
    </row>
    <row r="59" spans="2:24">
      <c r="B59" s="7" t="s">
        <v>378</v>
      </c>
      <c r="C59" s="90" t="s">
        <v>377</v>
      </c>
      <c r="D59" s="90"/>
      <c r="E59" s="7">
        <f>1.18+1.68</f>
        <v>2.86</v>
      </c>
      <c r="F59" s="7"/>
      <c r="H59" s="7" t="s">
        <v>378</v>
      </c>
      <c r="I59" s="90" t="s">
        <v>377</v>
      </c>
      <c r="J59" s="90"/>
      <c r="K59" s="7"/>
      <c r="L59" s="7"/>
      <c r="N59" s="7" t="s">
        <v>378</v>
      </c>
      <c r="O59" s="90" t="s">
        <v>377</v>
      </c>
      <c r="P59" s="90"/>
      <c r="Q59" s="7">
        <f>(1.18*0.75)+(1.68*1.3)</f>
        <v>3.069</v>
      </c>
      <c r="R59" s="7"/>
      <c r="T59" s="7" t="s">
        <v>378</v>
      </c>
      <c r="U59" s="90" t="s">
        <v>377</v>
      </c>
      <c r="V59" s="90"/>
      <c r="W59" s="7">
        <f>(1.18*0.75)+(1.68*1.3)</f>
        <v>3.069</v>
      </c>
      <c r="X59" s="7"/>
    </row>
    <row r="60" spans="2:24">
      <c r="B60" s="7" t="s">
        <v>392</v>
      </c>
      <c r="C60" s="90" t="s">
        <v>393</v>
      </c>
      <c r="D60" s="90"/>
      <c r="E60" s="7"/>
      <c r="F60" s="7"/>
      <c r="H60" s="7" t="s">
        <v>392</v>
      </c>
      <c r="I60" s="90" t="s">
        <v>393</v>
      </c>
      <c r="J60" s="90"/>
      <c r="K60" s="7"/>
      <c r="L60" s="7"/>
      <c r="N60" s="7" t="s">
        <v>392</v>
      </c>
      <c r="O60" s="90" t="s">
        <v>393</v>
      </c>
      <c r="P60" s="90"/>
      <c r="Q60" s="7"/>
      <c r="R60" s="7"/>
      <c r="T60" s="7" t="s">
        <v>392</v>
      </c>
      <c r="U60" s="90" t="s">
        <v>393</v>
      </c>
      <c r="V60" s="90"/>
      <c r="W60" s="7"/>
      <c r="X60" s="7"/>
    </row>
    <row r="61" spans="2:24">
      <c r="B61" s="7" t="s">
        <v>392</v>
      </c>
      <c r="C61" s="90" t="s">
        <v>394</v>
      </c>
      <c r="D61" s="90"/>
      <c r="E61" s="7">
        <f>1.83+1.22</f>
        <v>3.05</v>
      </c>
      <c r="F61" s="7"/>
      <c r="H61" s="7" t="s">
        <v>392</v>
      </c>
      <c r="I61" s="90" t="s">
        <v>394</v>
      </c>
      <c r="J61" s="90"/>
      <c r="K61" s="7"/>
      <c r="L61" s="7"/>
      <c r="N61" s="7" t="s">
        <v>392</v>
      </c>
      <c r="O61" s="90" t="s">
        <v>394</v>
      </c>
      <c r="P61" s="90"/>
      <c r="Q61" s="7"/>
      <c r="R61" s="7"/>
      <c r="T61" s="7" t="s">
        <v>392</v>
      </c>
      <c r="U61" s="90" t="s">
        <v>394</v>
      </c>
      <c r="V61" s="90"/>
      <c r="W61" s="7">
        <f>1.22*0.87</f>
        <v>1.0613999999999999</v>
      </c>
      <c r="X61" s="7"/>
    </row>
    <row r="62" spans="2:24">
      <c r="B62" s="7" t="s">
        <v>392</v>
      </c>
      <c r="C62" s="90" t="s">
        <v>395</v>
      </c>
      <c r="D62" s="90"/>
      <c r="E62" s="7">
        <f>0.46*4</f>
        <v>1.84</v>
      </c>
      <c r="F62" s="7"/>
      <c r="H62" s="7" t="s">
        <v>392</v>
      </c>
      <c r="I62" s="90" t="s">
        <v>395</v>
      </c>
      <c r="J62" s="90"/>
      <c r="K62" s="7"/>
      <c r="L62" s="7"/>
      <c r="N62" s="7" t="s">
        <v>392</v>
      </c>
      <c r="O62" s="90" t="s">
        <v>395</v>
      </c>
      <c r="P62" s="90"/>
      <c r="Q62" s="7">
        <f>1.78*0.46*4</f>
        <v>3.2752000000000003</v>
      </c>
      <c r="R62" s="7"/>
      <c r="T62" s="7" t="s">
        <v>392</v>
      </c>
      <c r="U62" s="90" t="s">
        <v>395</v>
      </c>
      <c r="V62" s="90"/>
      <c r="W62" s="7">
        <f>1.78*0.46*4</f>
        <v>3.2752000000000003</v>
      </c>
      <c r="X62" s="7"/>
    </row>
    <row r="63" spans="2:24">
      <c r="B63" s="7" t="s">
        <v>392</v>
      </c>
      <c r="C63" s="90" t="s">
        <v>396</v>
      </c>
      <c r="D63" s="90"/>
      <c r="E63" s="7"/>
      <c r="F63" s="7"/>
      <c r="H63" s="7" t="s">
        <v>392</v>
      </c>
      <c r="I63" s="90" t="s">
        <v>396</v>
      </c>
      <c r="J63" s="90"/>
      <c r="K63" s="7"/>
      <c r="L63" s="7"/>
      <c r="N63" s="7" t="s">
        <v>392</v>
      </c>
      <c r="O63" s="90" t="s">
        <v>396</v>
      </c>
      <c r="P63" s="90"/>
      <c r="Q63" s="7"/>
      <c r="R63" s="7"/>
      <c r="T63" s="7" t="s">
        <v>392</v>
      </c>
      <c r="U63" s="90" t="s">
        <v>396</v>
      </c>
      <c r="V63" s="90"/>
      <c r="W63" s="7"/>
      <c r="X63" s="7"/>
    </row>
    <row r="64" spans="2:24">
      <c r="B64" s="7" t="s">
        <v>392</v>
      </c>
      <c r="C64" s="90" t="s">
        <v>397</v>
      </c>
      <c r="D64" s="90"/>
      <c r="E64" s="7"/>
      <c r="F64" s="7"/>
      <c r="H64" s="7" t="s">
        <v>392</v>
      </c>
      <c r="I64" s="90" t="s">
        <v>397</v>
      </c>
      <c r="J64" s="90"/>
      <c r="K64" s="7"/>
      <c r="L64" s="7"/>
      <c r="N64" s="7" t="s">
        <v>392</v>
      </c>
      <c r="O64" s="90" t="s">
        <v>397</v>
      </c>
      <c r="P64" s="90"/>
      <c r="Q64" s="7"/>
      <c r="R64" s="7"/>
      <c r="T64" s="7" t="s">
        <v>392</v>
      </c>
      <c r="U64" s="90" t="s">
        <v>397</v>
      </c>
      <c r="V64" s="90"/>
      <c r="W64" s="7"/>
      <c r="X64" s="7"/>
    </row>
    <row r="65" spans="2:24">
      <c r="B65" s="7" t="s">
        <v>392</v>
      </c>
      <c r="C65" s="90" t="s">
        <v>398</v>
      </c>
      <c r="D65" s="90"/>
      <c r="E65" s="7"/>
      <c r="F65" s="7"/>
      <c r="H65" s="7" t="s">
        <v>392</v>
      </c>
      <c r="I65" s="90" t="s">
        <v>398</v>
      </c>
      <c r="J65" s="90"/>
      <c r="K65" s="7"/>
      <c r="L65" s="7"/>
      <c r="N65" s="7" t="s">
        <v>392</v>
      </c>
      <c r="O65" s="90" t="s">
        <v>398</v>
      </c>
      <c r="P65" s="90"/>
      <c r="Q65" s="7"/>
      <c r="R65" s="7"/>
      <c r="T65" s="7" t="s">
        <v>392</v>
      </c>
      <c r="U65" s="90" t="s">
        <v>398</v>
      </c>
      <c r="V65" s="90"/>
      <c r="W65" s="7"/>
      <c r="X65" s="7"/>
    </row>
    <row r="66" spans="2:24">
      <c r="B66" s="7" t="s">
        <v>392</v>
      </c>
      <c r="C66" s="90" t="s">
        <v>399</v>
      </c>
      <c r="D66" s="90"/>
      <c r="E66" s="7">
        <f>((1.15*2)+(1.05*2))</f>
        <v>4.4000000000000004</v>
      </c>
      <c r="F66" s="7"/>
      <c r="H66" s="7" t="s">
        <v>392</v>
      </c>
      <c r="I66" s="90" t="s">
        <v>399</v>
      </c>
      <c r="J66" s="90"/>
      <c r="K66" s="7"/>
      <c r="L66" s="7"/>
      <c r="N66" s="7" t="s">
        <v>392</v>
      </c>
      <c r="O66" s="90" t="s">
        <v>399</v>
      </c>
      <c r="P66" s="90"/>
      <c r="Q66" s="7"/>
      <c r="R66" s="7"/>
      <c r="T66" s="7" t="s">
        <v>392</v>
      </c>
      <c r="U66" s="90" t="s">
        <v>399</v>
      </c>
      <c r="V66" s="90"/>
      <c r="W66" s="7">
        <f>(1.15*1.63*2)+(1.05*2.14*2)</f>
        <v>8.2430000000000003</v>
      </c>
      <c r="X66" s="7"/>
    </row>
    <row r="67" spans="2:24">
      <c r="B67" s="7" t="s">
        <v>392</v>
      </c>
      <c r="C67" s="90" t="s">
        <v>400</v>
      </c>
      <c r="D67" s="90"/>
      <c r="E67" s="7"/>
      <c r="F67" s="7"/>
      <c r="H67" s="7" t="s">
        <v>392</v>
      </c>
      <c r="I67" s="90" t="s">
        <v>400</v>
      </c>
      <c r="J67" s="90"/>
      <c r="K67" s="7"/>
      <c r="L67" s="7"/>
      <c r="N67" s="7" t="s">
        <v>392</v>
      </c>
      <c r="O67" s="90" t="s">
        <v>400</v>
      </c>
      <c r="P67" s="90"/>
      <c r="Q67" s="7"/>
      <c r="R67" s="7"/>
      <c r="T67" s="7" t="s">
        <v>392</v>
      </c>
      <c r="U67" s="90" t="s">
        <v>400</v>
      </c>
      <c r="V67" s="90"/>
      <c r="W67" s="7"/>
      <c r="X67" s="7"/>
    </row>
    <row r="68" spans="2:24">
      <c r="B68" s="7" t="s">
        <v>392</v>
      </c>
      <c r="C68" s="90" t="s">
        <v>401</v>
      </c>
      <c r="D68" s="90"/>
      <c r="E68" s="7"/>
      <c r="F68" s="7"/>
      <c r="H68" s="7" t="s">
        <v>392</v>
      </c>
      <c r="I68" s="90" t="s">
        <v>403</v>
      </c>
      <c r="J68" s="90"/>
      <c r="K68" s="7">
        <f>1.9*2.7-Q68</f>
        <v>2.9699999999999998</v>
      </c>
      <c r="L68" s="7"/>
      <c r="N68" s="7" t="s">
        <v>392</v>
      </c>
      <c r="O68" s="90" t="s">
        <v>403</v>
      </c>
      <c r="P68" s="90"/>
      <c r="Q68" s="7">
        <f>(0.6*1.2)*3</f>
        <v>2.16</v>
      </c>
      <c r="R68" s="7"/>
      <c r="T68" s="7" t="s">
        <v>392</v>
      </c>
      <c r="U68" s="90" t="s">
        <v>401</v>
      </c>
      <c r="V68" s="90"/>
      <c r="W68" s="7"/>
      <c r="X68" s="7"/>
    </row>
    <row r="69" spans="2:24">
      <c r="B69" s="7" t="s">
        <v>392</v>
      </c>
      <c r="C69" s="90" t="s">
        <v>402</v>
      </c>
      <c r="D69" s="90"/>
      <c r="E69" s="7"/>
      <c r="F69" s="7"/>
      <c r="H69" s="7" t="s">
        <v>392</v>
      </c>
      <c r="I69" s="90" t="s">
        <v>402</v>
      </c>
      <c r="J69" s="90"/>
      <c r="K69" s="7"/>
      <c r="L69" s="7"/>
      <c r="N69" s="7" t="s">
        <v>392</v>
      </c>
      <c r="O69" s="90" t="s">
        <v>402</v>
      </c>
      <c r="P69" s="90"/>
      <c r="Q69" s="7"/>
      <c r="R69" s="7"/>
      <c r="T69" s="7" t="s">
        <v>392</v>
      </c>
      <c r="U69" s="90" t="s">
        <v>402</v>
      </c>
      <c r="V69" s="90"/>
      <c r="W69" s="7"/>
      <c r="X69" s="7"/>
    </row>
    <row r="70" spans="2:24">
      <c r="B70" s="7" t="s">
        <v>392</v>
      </c>
      <c r="C70" s="90" t="s">
        <v>402</v>
      </c>
      <c r="D70" s="90"/>
      <c r="E70" s="7"/>
      <c r="F70" s="7"/>
      <c r="H70" s="7" t="s">
        <v>392</v>
      </c>
      <c r="I70" s="90" t="s">
        <v>402</v>
      </c>
      <c r="J70" s="90"/>
      <c r="K70" s="7"/>
      <c r="L70" s="7"/>
      <c r="N70" s="7" t="s">
        <v>392</v>
      </c>
      <c r="O70" s="90" t="s">
        <v>402</v>
      </c>
      <c r="P70" s="90"/>
      <c r="Q70" s="7"/>
      <c r="R70" s="7"/>
      <c r="T70" s="7" t="s">
        <v>392</v>
      </c>
      <c r="U70" s="90" t="s">
        <v>402</v>
      </c>
      <c r="V70" s="90"/>
      <c r="W70" s="7"/>
      <c r="X70" s="7"/>
    </row>
    <row r="71" spans="2:24">
      <c r="B71" s="7" t="s">
        <v>392</v>
      </c>
      <c r="C71" s="90" t="s">
        <v>404</v>
      </c>
      <c r="D71" s="90"/>
      <c r="E71" s="7"/>
      <c r="F71" s="7"/>
      <c r="H71" s="7" t="s">
        <v>392</v>
      </c>
      <c r="I71" s="90" t="s">
        <v>404</v>
      </c>
      <c r="J71" s="90"/>
      <c r="K71" s="7"/>
      <c r="L71" s="7"/>
      <c r="N71" s="7" t="s">
        <v>392</v>
      </c>
      <c r="O71" s="90" t="s">
        <v>404</v>
      </c>
      <c r="P71" s="90"/>
      <c r="Q71" s="7"/>
      <c r="R71" s="7"/>
      <c r="T71" s="7" t="s">
        <v>392</v>
      </c>
      <c r="U71" s="90" t="s">
        <v>404</v>
      </c>
      <c r="V71" s="90"/>
      <c r="W71" s="7"/>
      <c r="X71" s="7"/>
    </row>
    <row r="72" spans="2:24">
      <c r="B72" s="7" t="s">
        <v>392</v>
      </c>
      <c r="C72" s="7" t="s">
        <v>405</v>
      </c>
      <c r="D72" s="7"/>
      <c r="E72" s="7"/>
      <c r="F72" s="7"/>
      <c r="H72" s="7" t="s">
        <v>392</v>
      </c>
      <c r="I72" s="7" t="s">
        <v>405</v>
      </c>
      <c r="J72" s="7"/>
      <c r="K72" s="7"/>
      <c r="L72" s="7"/>
      <c r="N72" s="7" t="s">
        <v>392</v>
      </c>
      <c r="O72" s="7" t="s">
        <v>405</v>
      </c>
      <c r="P72" s="7"/>
      <c r="Q72" s="7"/>
      <c r="R72" s="7"/>
      <c r="T72" s="7" t="s">
        <v>392</v>
      </c>
      <c r="U72" s="7" t="s">
        <v>405</v>
      </c>
      <c r="V72" s="7"/>
      <c r="W72" s="7"/>
      <c r="X72" s="7"/>
    </row>
    <row r="73" spans="2:24">
      <c r="B73" s="7" t="s">
        <v>392</v>
      </c>
      <c r="C73" s="7" t="s">
        <v>406</v>
      </c>
      <c r="D73" s="7"/>
      <c r="E73" s="7"/>
      <c r="F73" s="7"/>
      <c r="H73" s="7" t="s">
        <v>392</v>
      </c>
      <c r="I73" s="7" t="s">
        <v>406</v>
      </c>
      <c r="J73" s="7"/>
      <c r="K73" s="7"/>
      <c r="L73" s="7"/>
      <c r="N73" s="7" t="s">
        <v>392</v>
      </c>
      <c r="O73" s="7" t="s">
        <v>406</v>
      </c>
      <c r="P73" s="7"/>
      <c r="Q73" s="7"/>
      <c r="R73" s="7"/>
      <c r="T73" s="7" t="s">
        <v>392</v>
      </c>
      <c r="U73" s="7" t="s">
        <v>406</v>
      </c>
      <c r="V73" s="7"/>
      <c r="W73" s="7"/>
      <c r="X73" s="7"/>
    </row>
    <row r="74" spans="2:24">
      <c r="B74" s="7"/>
      <c r="C74" s="7"/>
      <c r="D74" s="7"/>
      <c r="E74" s="7"/>
      <c r="F74" s="7"/>
      <c r="H74" s="7"/>
      <c r="I74" s="7"/>
      <c r="J74" s="7"/>
      <c r="K74" s="7"/>
      <c r="L74" s="7"/>
      <c r="N74" s="7"/>
      <c r="O74" s="7"/>
      <c r="P74" s="7"/>
      <c r="Q74" s="7"/>
      <c r="R74" s="7"/>
      <c r="T74" s="7"/>
      <c r="U74" s="7"/>
      <c r="V74" s="7"/>
      <c r="W74" s="7"/>
      <c r="X74" s="7"/>
    </row>
    <row r="75" spans="2:24">
      <c r="B75" s="7"/>
      <c r="C75" s="7"/>
      <c r="D75" s="7" t="s">
        <v>407</v>
      </c>
      <c r="E75" s="7">
        <f>SUM(E42:E73)</f>
        <v>37.520000000000003</v>
      </c>
      <c r="F75" s="7"/>
      <c r="H75" s="7"/>
      <c r="I75" s="7"/>
      <c r="J75" s="7" t="s">
        <v>407</v>
      </c>
      <c r="K75" s="46">
        <f>SUM(K42:K73)</f>
        <v>71.041786999999999</v>
      </c>
      <c r="L75" s="7"/>
      <c r="N75" s="7"/>
      <c r="O75" s="7"/>
      <c r="P75" s="7" t="s">
        <v>407</v>
      </c>
      <c r="Q75" s="46">
        <f>SUM(Q42:Q73)</f>
        <v>45.042699999999996</v>
      </c>
      <c r="R75" s="7"/>
      <c r="T75" s="7"/>
      <c r="U75" s="7"/>
      <c r="V75" s="7" t="s">
        <v>407</v>
      </c>
      <c r="W75" s="46">
        <f>SUM(W42:W73)</f>
        <v>39.988100000000003</v>
      </c>
      <c r="X75" s="7"/>
    </row>
    <row r="78" spans="2:24">
      <c r="B78" s="89" t="s">
        <v>413</v>
      </c>
      <c r="C78" s="89"/>
      <c r="D78" s="89"/>
      <c r="E78" s="89"/>
      <c r="F78" s="89"/>
      <c r="H78" s="89" t="s">
        <v>414</v>
      </c>
      <c r="I78" s="89"/>
      <c r="J78" s="89"/>
      <c r="K78" s="89"/>
      <c r="L78" s="89"/>
      <c r="N78" s="89" t="s">
        <v>415</v>
      </c>
      <c r="O78" s="89"/>
      <c r="P78" s="89"/>
      <c r="Q78" s="89"/>
      <c r="T78" s="89" t="s">
        <v>416</v>
      </c>
      <c r="U78" s="89"/>
      <c r="V78" s="89"/>
      <c r="W78" s="89"/>
      <c r="X78" s="7"/>
    </row>
    <row r="79" spans="2:24">
      <c r="B79" s="7" t="s">
        <v>372</v>
      </c>
      <c r="C79" s="90" t="s">
        <v>373</v>
      </c>
      <c r="D79" s="90"/>
      <c r="E79" s="7"/>
      <c r="F79" s="7"/>
      <c r="H79" s="7" t="s">
        <v>372</v>
      </c>
      <c r="I79" s="90" t="s">
        <v>373</v>
      </c>
      <c r="J79" s="90"/>
      <c r="K79" s="7"/>
      <c r="L79" s="7"/>
      <c r="N79" s="7" t="s">
        <v>378</v>
      </c>
      <c r="O79" s="7" t="s">
        <v>406</v>
      </c>
      <c r="P79" s="7"/>
      <c r="Q79" s="7">
        <f>1.83*1.27</f>
        <v>2.3241000000000001</v>
      </c>
      <c r="T79" s="7" t="s">
        <v>378</v>
      </c>
      <c r="U79" s="7" t="s">
        <v>406</v>
      </c>
      <c r="V79" s="7"/>
      <c r="W79" s="7">
        <f>((1.83*2)+(1.27*2)*2.7)</f>
        <v>10.518000000000001</v>
      </c>
      <c r="X79" s="7"/>
    </row>
    <row r="80" spans="2:24">
      <c r="B80" s="7" t="s">
        <v>372</v>
      </c>
      <c r="C80" s="90" t="s">
        <v>375</v>
      </c>
      <c r="D80" s="90"/>
      <c r="E80" s="7">
        <f>3.44*2.39</f>
        <v>8.2216000000000005</v>
      </c>
      <c r="F80" s="7"/>
      <c r="H80" s="7" t="s">
        <v>372</v>
      </c>
      <c r="I80" s="90" t="s">
        <v>375</v>
      </c>
      <c r="J80" s="90"/>
      <c r="K80" s="7">
        <f>((3.42*4.48)+(2.4*4.48)+(3.78*4.48))</f>
        <v>43.008000000000003</v>
      </c>
      <c r="L80" s="7"/>
      <c r="N80" s="7" t="s">
        <v>378</v>
      </c>
      <c r="O80" s="7" t="s">
        <v>405</v>
      </c>
      <c r="P80" s="7"/>
      <c r="Q80" s="7">
        <f>1.74*1.28</f>
        <v>2.2271999999999998</v>
      </c>
      <c r="T80" s="7" t="s">
        <v>378</v>
      </c>
      <c r="U80" s="7" t="s">
        <v>405</v>
      </c>
      <c r="V80" s="7"/>
      <c r="W80" s="7">
        <f>((1.74*2)+(1.28*2)*2.7)</f>
        <v>10.392000000000001</v>
      </c>
      <c r="X80" s="7"/>
    </row>
    <row r="81" spans="2:24">
      <c r="B81" s="7" t="s">
        <v>372</v>
      </c>
      <c r="C81" s="90" t="s">
        <v>376</v>
      </c>
      <c r="D81" s="90"/>
      <c r="E81" s="7"/>
      <c r="F81" s="7"/>
      <c r="H81" s="7" t="s">
        <v>372</v>
      </c>
      <c r="I81" s="90" t="s">
        <v>376</v>
      </c>
      <c r="J81" s="90"/>
      <c r="K81" s="7"/>
      <c r="L81" s="7"/>
      <c r="N81" s="7" t="s">
        <v>378</v>
      </c>
      <c r="O81" s="7" t="s">
        <v>417</v>
      </c>
      <c r="P81" s="7"/>
      <c r="Q81" s="7">
        <f>3.2*1.28</f>
        <v>4.0960000000000001</v>
      </c>
      <c r="T81" s="7" t="s">
        <v>378</v>
      </c>
      <c r="U81" s="7" t="s">
        <v>417</v>
      </c>
      <c r="V81" s="7"/>
      <c r="W81" s="7">
        <f>((3.2*2)+(1.28*2)*2.7)</f>
        <v>13.312000000000001</v>
      </c>
      <c r="X81" s="7"/>
    </row>
    <row r="82" spans="2:24">
      <c r="B82" s="7" t="s">
        <v>372</v>
      </c>
      <c r="C82" s="90" t="s">
        <v>377</v>
      </c>
      <c r="D82" s="90"/>
      <c r="E82" s="7"/>
      <c r="F82" s="7"/>
      <c r="H82" s="7" t="s">
        <v>372</v>
      </c>
      <c r="I82" s="90" t="s">
        <v>377</v>
      </c>
      <c r="J82" s="90"/>
      <c r="K82" s="7"/>
      <c r="L82" s="7"/>
      <c r="N82" s="7" t="s">
        <v>378</v>
      </c>
      <c r="O82" s="7" t="s">
        <v>418</v>
      </c>
      <c r="P82" s="7"/>
      <c r="Q82" s="7">
        <f>1.94*1.26</f>
        <v>2.4443999999999999</v>
      </c>
      <c r="T82" s="7" t="s">
        <v>378</v>
      </c>
      <c r="U82" s="7" t="s">
        <v>418</v>
      </c>
      <c r="V82" s="7"/>
      <c r="W82" s="7">
        <f>((1.94*2)+(1.26*2)*2.7)</f>
        <v>10.684000000000001</v>
      </c>
      <c r="X82" s="7"/>
    </row>
    <row r="83" spans="2:24">
      <c r="B83" s="7" t="s">
        <v>378</v>
      </c>
      <c r="C83" s="90" t="s">
        <v>379</v>
      </c>
      <c r="D83" s="90"/>
      <c r="E83" s="7"/>
      <c r="F83" s="7"/>
      <c r="H83" s="7" t="s">
        <v>378</v>
      </c>
      <c r="I83" s="90" t="s">
        <v>379</v>
      </c>
      <c r="J83" s="90"/>
      <c r="K83" s="7"/>
      <c r="L83" s="7"/>
      <c r="N83" s="7" t="s">
        <v>378</v>
      </c>
      <c r="O83" s="7" t="s">
        <v>419</v>
      </c>
      <c r="P83" s="7"/>
      <c r="Q83" s="7">
        <f>2*1.24</f>
        <v>2.48</v>
      </c>
      <c r="T83" s="7" t="s">
        <v>378</v>
      </c>
      <c r="U83" s="7" t="s">
        <v>419</v>
      </c>
      <c r="V83" s="7"/>
      <c r="W83" s="7">
        <f>((2*2)+(1.24*2)*2.7)</f>
        <v>10.696000000000002</v>
      </c>
      <c r="X83" s="7"/>
    </row>
    <row r="84" spans="2:24">
      <c r="B84" s="7" t="s">
        <v>378</v>
      </c>
      <c r="C84" s="90" t="s">
        <v>380</v>
      </c>
      <c r="D84" s="90"/>
      <c r="E84" s="7"/>
      <c r="F84" s="7"/>
      <c r="H84" s="7" t="s">
        <v>378</v>
      </c>
      <c r="I84" s="90" t="s">
        <v>380</v>
      </c>
      <c r="J84" s="90"/>
      <c r="K84" s="7"/>
      <c r="L84" s="7"/>
      <c r="N84" s="7" t="s">
        <v>392</v>
      </c>
      <c r="O84" s="7" t="s">
        <v>420</v>
      </c>
      <c r="P84" s="7"/>
      <c r="Q84" s="7">
        <v>3</v>
      </c>
      <c r="T84" s="7" t="s">
        <v>392</v>
      </c>
      <c r="U84" s="7" t="s">
        <v>421</v>
      </c>
      <c r="V84" s="7"/>
      <c r="W84" s="7">
        <f>((3.13*2)+(2.01*2)*2.7)</f>
        <v>17.113999999999997</v>
      </c>
      <c r="X84" s="7"/>
    </row>
    <row r="85" spans="2:24">
      <c r="B85" s="7" t="s">
        <v>378</v>
      </c>
      <c r="C85" s="90" t="s">
        <v>381</v>
      </c>
      <c r="D85" s="90"/>
      <c r="E85" s="7"/>
      <c r="F85" s="7"/>
      <c r="H85" s="7" t="s">
        <v>378</v>
      </c>
      <c r="I85" s="90" t="s">
        <v>381</v>
      </c>
      <c r="J85" s="90"/>
      <c r="K85" s="7"/>
      <c r="L85" s="7"/>
      <c r="N85" s="7" t="s">
        <v>392</v>
      </c>
      <c r="O85" s="7" t="s">
        <v>422</v>
      </c>
      <c r="P85" s="7"/>
      <c r="Q85" s="7">
        <f>1.85*1.02</f>
        <v>1.8870000000000002</v>
      </c>
      <c r="T85" s="7" t="s">
        <v>392</v>
      </c>
      <c r="U85" s="7" t="s">
        <v>420</v>
      </c>
      <c r="V85" s="7"/>
      <c r="W85" s="7" t="s">
        <v>423</v>
      </c>
      <c r="X85" s="7"/>
    </row>
    <row r="86" spans="2:24">
      <c r="B86" s="7" t="s">
        <v>378</v>
      </c>
      <c r="C86" s="90" t="s">
        <v>382</v>
      </c>
      <c r="D86" s="90"/>
      <c r="E86" s="7"/>
      <c r="F86" s="7"/>
      <c r="H86" s="7" t="s">
        <v>378</v>
      </c>
      <c r="I86" s="90" t="s">
        <v>382</v>
      </c>
      <c r="J86" s="90"/>
      <c r="K86" s="7"/>
      <c r="L86" s="7"/>
      <c r="N86" s="7" t="s">
        <v>392</v>
      </c>
      <c r="O86" s="7" t="s">
        <v>403</v>
      </c>
      <c r="P86" s="7"/>
      <c r="Q86" s="7">
        <f>3.26*3.5</f>
        <v>11.41</v>
      </c>
      <c r="T86" s="7" t="s">
        <v>392</v>
      </c>
      <c r="U86" s="7" t="s">
        <v>422</v>
      </c>
      <c r="V86" s="7"/>
      <c r="W86" s="7">
        <f>((1.85*2)+(1.02*2))</f>
        <v>5.74</v>
      </c>
      <c r="X86" s="7"/>
    </row>
    <row r="87" spans="2:24">
      <c r="B87" s="7" t="s">
        <v>378</v>
      </c>
      <c r="C87" s="90" t="s">
        <v>383</v>
      </c>
      <c r="D87" s="90"/>
      <c r="E87" s="7"/>
      <c r="F87" s="7"/>
      <c r="H87" s="7" t="s">
        <v>378</v>
      </c>
      <c r="I87" s="90" t="s">
        <v>383</v>
      </c>
      <c r="J87" s="90"/>
      <c r="K87" s="7"/>
      <c r="L87" s="7"/>
      <c r="N87" s="7" t="s">
        <v>392</v>
      </c>
      <c r="O87" s="7" t="s">
        <v>424</v>
      </c>
      <c r="P87" s="7"/>
      <c r="Q87" s="7">
        <f>2.24*1.89</f>
        <v>4.2336</v>
      </c>
      <c r="T87" s="7" t="s">
        <v>392</v>
      </c>
      <c r="U87" s="7" t="s">
        <v>405</v>
      </c>
      <c r="V87" s="7"/>
      <c r="W87" s="7">
        <f>((2.23*2.7)+(3.19*2.7)+(1.85*2.7)+(1.43*2.7))</f>
        <v>23.490000000000002</v>
      </c>
      <c r="X87" s="7"/>
    </row>
    <row r="88" spans="2:24">
      <c r="B88" s="7" t="s">
        <v>378</v>
      </c>
      <c r="C88" s="90" t="s">
        <v>384</v>
      </c>
      <c r="D88" s="90"/>
      <c r="E88" s="7"/>
      <c r="F88" s="7"/>
      <c r="H88" s="7" t="s">
        <v>378</v>
      </c>
      <c r="I88" s="90" t="s">
        <v>384</v>
      </c>
      <c r="J88" s="90"/>
      <c r="K88" s="7"/>
      <c r="L88" s="7"/>
      <c r="N88" s="7"/>
      <c r="O88" s="7"/>
      <c r="P88" s="7"/>
      <c r="Q88" s="7"/>
      <c r="T88" s="7" t="s">
        <v>392</v>
      </c>
      <c r="U88" s="7" t="s">
        <v>406</v>
      </c>
      <c r="V88" s="7"/>
      <c r="W88" s="7">
        <f>((3.18+1.88+1.41*3.36+1.49+1.76)*2.7)</f>
        <v>35.228520000000003</v>
      </c>
      <c r="X88" s="7"/>
    </row>
    <row r="89" spans="2:24">
      <c r="B89" s="7" t="s">
        <v>378</v>
      </c>
      <c r="C89" s="90" t="s">
        <v>385</v>
      </c>
      <c r="D89" s="90"/>
      <c r="E89" s="7"/>
      <c r="F89" s="7"/>
      <c r="H89" s="7" t="s">
        <v>378</v>
      </c>
      <c r="I89" s="90" t="s">
        <v>385</v>
      </c>
      <c r="J89" s="90"/>
      <c r="K89" s="7"/>
      <c r="L89" s="7"/>
      <c r="N89" s="7"/>
      <c r="O89" s="7"/>
      <c r="P89" s="7" t="s">
        <v>407</v>
      </c>
      <c r="Q89" s="46">
        <f>SUM(Q79:Q87)</f>
        <v>34.1023</v>
      </c>
      <c r="T89" s="7"/>
      <c r="U89" s="7"/>
      <c r="V89" s="7" t="s">
        <v>407</v>
      </c>
      <c r="W89" s="48">
        <f>SUM(W79:W88)</f>
        <v>137.17452</v>
      </c>
      <c r="X89" s="7"/>
    </row>
    <row r="90" spans="2:24">
      <c r="B90" s="7" t="s">
        <v>378</v>
      </c>
      <c r="C90" s="90" t="s">
        <v>386</v>
      </c>
      <c r="D90" s="90"/>
      <c r="E90" s="7"/>
      <c r="F90" s="7"/>
      <c r="H90" s="7" t="s">
        <v>378</v>
      </c>
      <c r="I90" s="90" t="s">
        <v>386</v>
      </c>
      <c r="J90" s="90"/>
      <c r="K90" s="7"/>
      <c r="L90" s="7"/>
    </row>
    <row r="91" spans="2:24">
      <c r="B91" s="7" t="s">
        <v>378</v>
      </c>
      <c r="C91" s="90" t="s">
        <v>387</v>
      </c>
      <c r="D91" s="90"/>
      <c r="E91" s="7"/>
      <c r="F91" s="7"/>
      <c r="H91" s="7" t="s">
        <v>378</v>
      </c>
      <c r="I91" s="90" t="s">
        <v>387</v>
      </c>
      <c r="J91" s="90"/>
      <c r="K91" s="7"/>
      <c r="L91" s="7"/>
    </row>
    <row r="92" spans="2:24">
      <c r="B92" s="7" t="s">
        <v>378</v>
      </c>
      <c r="C92" s="90" t="s">
        <v>388</v>
      </c>
      <c r="D92" s="90"/>
      <c r="E92" s="7"/>
      <c r="F92" s="7"/>
      <c r="H92" s="7" t="s">
        <v>378</v>
      </c>
      <c r="I92" s="90" t="s">
        <v>388</v>
      </c>
      <c r="J92" s="90"/>
      <c r="K92" s="7"/>
      <c r="L92" s="7"/>
    </row>
    <row r="93" spans="2:24">
      <c r="B93" s="7" t="s">
        <v>378</v>
      </c>
      <c r="C93" s="90" t="s">
        <v>389</v>
      </c>
      <c r="D93" s="90"/>
      <c r="E93" s="7"/>
      <c r="F93" s="7"/>
      <c r="H93" s="7" t="s">
        <v>378</v>
      </c>
      <c r="I93" s="90" t="s">
        <v>389</v>
      </c>
      <c r="J93" s="90"/>
      <c r="K93" s="7"/>
      <c r="L93" s="7"/>
      <c r="N93" s="89" t="s">
        <v>425</v>
      </c>
      <c r="O93" s="89"/>
      <c r="P93" s="89"/>
      <c r="Q93" s="89"/>
      <c r="T93" s="89" t="s">
        <v>426</v>
      </c>
      <c r="U93" s="89"/>
      <c r="V93" s="89"/>
      <c r="W93" s="89"/>
      <c r="X93" s="7"/>
    </row>
    <row r="94" spans="2:24">
      <c r="B94" s="7" t="s">
        <v>378</v>
      </c>
      <c r="C94" s="90" t="s">
        <v>390</v>
      </c>
      <c r="D94" s="90"/>
      <c r="E94" s="7"/>
      <c r="F94" s="7"/>
      <c r="H94" s="7" t="s">
        <v>378</v>
      </c>
      <c r="I94" s="90" t="s">
        <v>390</v>
      </c>
      <c r="J94" s="90"/>
      <c r="K94" s="7"/>
      <c r="L94" s="7"/>
      <c r="N94" s="7" t="s">
        <v>392</v>
      </c>
      <c r="O94" s="7" t="s">
        <v>420</v>
      </c>
      <c r="P94" s="7"/>
      <c r="Q94" s="7" t="s">
        <v>427</v>
      </c>
      <c r="T94" s="7" t="s">
        <v>428</v>
      </c>
      <c r="U94" s="7"/>
      <c r="V94" s="7"/>
      <c r="W94" s="7">
        <f>2.9*4</f>
        <v>11.6</v>
      </c>
      <c r="X94" s="7"/>
    </row>
    <row r="95" spans="2:24">
      <c r="B95" s="7" t="s">
        <v>378</v>
      </c>
      <c r="C95" s="90" t="s">
        <v>391</v>
      </c>
      <c r="D95" s="90"/>
      <c r="E95" s="7"/>
      <c r="F95" s="7"/>
      <c r="H95" s="7" t="s">
        <v>378</v>
      </c>
      <c r="I95" s="90" t="s">
        <v>391</v>
      </c>
      <c r="J95" s="90"/>
      <c r="K95" s="7"/>
      <c r="L95" s="7"/>
      <c r="N95" s="7" t="s">
        <v>392</v>
      </c>
      <c r="O95" s="7" t="s">
        <v>403</v>
      </c>
      <c r="P95" s="7"/>
      <c r="Q95" s="7">
        <f>((3.26*2)+(3.5*2))</f>
        <v>13.52</v>
      </c>
      <c r="T95" s="7" t="s">
        <v>429</v>
      </c>
      <c r="U95" s="7"/>
      <c r="V95" s="7"/>
      <c r="W95" s="7">
        <f>2.9*4</f>
        <v>11.6</v>
      </c>
      <c r="X95" s="7"/>
    </row>
    <row r="96" spans="2:24">
      <c r="B96" s="7" t="s">
        <v>378</v>
      </c>
      <c r="C96" s="90" t="s">
        <v>377</v>
      </c>
      <c r="D96" s="90"/>
      <c r="E96" s="7"/>
      <c r="F96" s="7"/>
      <c r="H96" s="7" t="s">
        <v>378</v>
      </c>
      <c r="I96" s="90" t="s">
        <v>377</v>
      </c>
      <c r="J96" s="90"/>
      <c r="K96" s="7">
        <f>(5.55+1.21+1.33+2.7+1.15)*2.7</f>
        <v>32.238</v>
      </c>
      <c r="L96" s="7"/>
      <c r="N96" s="7" t="s">
        <v>392</v>
      </c>
      <c r="O96" s="7" t="s">
        <v>424</v>
      </c>
      <c r="P96" s="7"/>
      <c r="Q96" s="7">
        <f>((2.24*2)+(1.89*2))</f>
        <v>8.26</v>
      </c>
    </row>
    <row r="97" spans="2:24">
      <c r="B97" s="7" t="s">
        <v>392</v>
      </c>
      <c r="C97" s="90" t="s">
        <v>393</v>
      </c>
      <c r="D97" s="90"/>
      <c r="E97" s="7"/>
      <c r="F97" s="7"/>
      <c r="H97" s="7" t="s">
        <v>392</v>
      </c>
      <c r="I97" s="90" t="s">
        <v>393</v>
      </c>
      <c r="J97" s="90"/>
      <c r="K97" s="7"/>
      <c r="L97" s="7"/>
      <c r="N97" s="7"/>
      <c r="O97" s="7"/>
      <c r="P97" s="7"/>
      <c r="Q97" s="7"/>
    </row>
    <row r="98" spans="2:24">
      <c r="B98" s="7" t="s">
        <v>392</v>
      </c>
      <c r="C98" s="90" t="s">
        <v>394</v>
      </c>
      <c r="D98" s="90"/>
      <c r="E98" s="7"/>
      <c r="F98" s="7"/>
      <c r="H98" s="7" t="s">
        <v>392</v>
      </c>
      <c r="I98" s="90" t="s">
        <v>394</v>
      </c>
      <c r="J98" s="90"/>
      <c r="K98" s="7"/>
      <c r="L98" s="7"/>
      <c r="N98" s="7"/>
      <c r="O98" s="7"/>
      <c r="P98" s="7" t="s">
        <v>407</v>
      </c>
      <c r="Q98" s="7">
        <f>SUM(Q94:Q96)</f>
        <v>21.78</v>
      </c>
      <c r="T98" s="91" t="s">
        <v>430</v>
      </c>
      <c r="U98" s="92"/>
      <c r="V98" s="92"/>
      <c r="W98" s="92"/>
      <c r="X98" s="93"/>
    </row>
    <row r="99" spans="2:24">
      <c r="B99" s="7" t="s">
        <v>392</v>
      </c>
      <c r="C99" s="90" t="s">
        <v>395</v>
      </c>
      <c r="D99" s="90"/>
      <c r="E99" s="7">
        <f>((6.53+6.11+0.25+2.33+1.5+5.66+12.27+1.5)*2.7)</f>
        <v>97.605000000000004</v>
      </c>
      <c r="F99" s="7"/>
      <c r="H99" s="7" t="s">
        <v>392</v>
      </c>
      <c r="I99" s="90" t="s">
        <v>395</v>
      </c>
      <c r="J99" s="90"/>
      <c r="K99" s="7"/>
      <c r="L99" s="7"/>
      <c r="T99" s="7" t="s">
        <v>378</v>
      </c>
      <c r="U99" s="7" t="s">
        <v>406</v>
      </c>
      <c r="V99" s="7"/>
      <c r="W99" s="7">
        <v>1</v>
      </c>
      <c r="X99" s="7"/>
    </row>
    <row r="100" spans="2:24">
      <c r="B100" s="7" t="s">
        <v>392</v>
      </c>
      <c r="C100" s="90" t="s">
        <v>396</v>
      </c>
      <c r="D100" s="90"/>
      <c r="E100" s="7"/>
      <c r="F100" s="7"/>
      <c r="H100" s="7" t="s">
        <v>392</v>
      </c>
      <c r="I100" s="90" t="s">
        <v>396</v>
      </c>
      <c r="J100" s="90"/>
      <c r="K100" s="7"/>
      <c r="L100" s="7"/>
      <c r="T100" s="7" t="s">
        <v>378</v>
      </c>
      <c r="U100" s="7" t="s">
        <v>405</v>
      </c>
      <c r="V100" s="7"/>
      <c r="W100" s="7">
        <v>1</v>
      </c>
      <c r="X100" s="7"/>
    </row>
    <row r="101" spans="2:24">
      <c r="B101" s="7" t="s">
        <v>392</v>
      </c>
      <c r="C101" s="90" t="s">
        <v>397</v>
      </c>
      <c r="D101" s="90"/>
      <c r="E101" s="7"/>
      <c r="F101" s="7"/>
      <c r="H101" s="7" t="s">
        <v>392</v>
      </c>
      <c r="I101" s="90" t="s">
        <v>397</v>
      </c>
      <c r="J101" s="90"/>
      <c r="K101" s="7"/>
      <c r="L101" s="7"/>
      <c r="N101" s="89" t="s">
        <v>431</v>
      </c>
      <c r="O101" s="89"/>
      <c r="P101" s="89"/>
      <c r="Q101" s="89"/>
      <c r="T101" s="7"/>
      <c r="U101" s="7"/>
      <c r="V101" s="7" t="s">
        <v>407</v>
      </c>
      <c r="W101" s="7">
        <f>SUM(W99:W100)</f>
        <v>2</v>
      </c>
      <c r="X101" s="7"/>
    </row>
    <row r="102" spans="2:24">
      <c r="B102" s="7" t="s">
        <v>392</v>
      </c>
      <c r="C102" s="90" t="s">
        <v>398</v>
      </c>
      <c r="D102" s="90"/>
      <c r="E102" s="7"/>
      <c r="F102" s="7"/>
      <c r="H102" s="7" t="s">
        <v>392</v>
      </c>
      <c r="I102" s="90" t="s">
        <v>398</v>
      </c>
      <c r="J102" s="90"/>
      <c r="K102" s="7"/>
      <c r="L102" s="7"/>
      <c r="N102" s="7" t="s">
        <v>392</v>
      </c>
      <c r="O102" s="7" t="s">
        <v>395</v>
      </c>
      <c r="P102" s="7"/>
      <c r="Q102" s="7">
        <f>(6.14*12.27)*1.15</f>
        <v>86.638469999999984</v>
      </c>
    </row>
    <row r="103" spans="2:24">
      <c r="B103" s="7" t="s">
        <v>392</v>
      </c>
      <c r="C103" s="90" t="s">
        <v>399</v>
      </c>
      <c r="D103" s="90"/>
      <c r="E103" s="7"/>
      <c r="F103" s="7"/>
      <c r="H103" s="7" t="s">
        <v>392</v>
      </c>
      <c r="I103" s="90" t="s">
        <v>399</v>
      </c>
      <c r="J103" s="90"/>
      <c r="K103" s="7"/>
      <c r="L103" s="7"/>
      <c r="N103" s="7"/>
      <c r="O103" s="7"/>
      <c r="P103" s="7"/>
      <c r="Q103" s="7"/>
    </row>
    <row r="104" spans="2:24">
      <c r="B104" s="7" t="s">
        <v>392</v>
      </c>
      <c r="C104" s="90" t="s">
        <v>400</v>
      </c>
      <c r="D104" s="90"/>
      <c r="E104" s="7"/>
      <c r="F104" s="7"/>
      <c r="H104" s="7" t="s">
        <v>392</v>
      </c>
      <c r="I104" s="90" t="s">
        <v>400</v>
      </c>
      <c r="J104" s="90"/>
      <c r="K104" s="7" t="s">
        <v>432</v>
      </c>
      <c r="L104" s="7"/>
      <c r="N104" s="7"/>
      <c r="O104" s="7"/>
      <c r="P104" s="7" t="s">
        <v>407</v>
      </c>
      <c r="Q104" s="46">
        <f>Q102</f>
        <v>86.638469999999984</v>
      </c>
    </row>
    <row r="105" spans="2:24">
      <c r="B105" s="7" t="s">
        <v>392</v>
      </c>
      <c r="C105" s="90" t="s">
        <v>401</v>
      </c>
      <c r="D105" s="90"/>
      <c r="E105" s="7"/>
      <c r="F105" s="7"/>
      <c r="H105" s="7" t="s">
        <v>392</v>
      </c>
      <c r="I105" s="90" t="s">
        <v>401</v>
      </c>
      <c r="J105" s="90"/>
      <c r="K105" s="7"/>
      <c r="L105" s="7"/>
      <c r="T105" s="7" t="s">
        <v>433</v>
      </c>
      <c r="U105" s="7"/>
      <c r="V105" s="7"/>
      <c r="W105" s="7"/>
      <c r="X105" s="7"/>
    </row>
    <row r="106" spans="2:24">
      <c r="B106" s="7" t="s">
        <v>392</v>
      </c>
      <c r="C106" s="90" t="s">
        <v>402</v>
      </c>
      <c r="D106" s="90"/>
      <c r="E106" s="7"/>
      <c r="F106" s="7"/>
      <c r="H106" s="7" t="s">
        <v>392</v>
      </c>
      <c r="I106" s="90" t="s">
        <v>402</v>
      </c>
      <c r="J106" s="90"/>
      <c r="K106" s="7"/>
      <c r="L106" s="7"/>
      <c r="T106" s="7"/>
      <c r="U106" s="7"/>
      <c r="V106" s="7"/>
      <c r="W106" s="7"/>
      <c r="X106" s="7"/>
    </row>
    <row r="107" spans="2:24">
      <c r="B107" s="7" t="s">
        <v>392</v>
      </c>
      <c r="C107" s="90" t="s">
        <v>402</v>
      </c>
      <c r="D107" s="90"/>
      <c r="E107" s="7"/>
      <c r="F107" s="7"/>
      <c r="H107" s="7" t="s">
        <v>392</v>
      </c>
      <c r="I107" s="90" t="s">
        <v>402</v>
      </c>
      <c r="J107" s="90"/>
      <c r="K107" s="7"/>
      <c r="L107" s="7"/>
      <c r="T107" s="7"/>
      <c r="U107" s="7"/>
      <c r="V107" s="7"/>
      <c r="W107" s="7"/>
      <c r="X107" s="7"/>
    </row>
    <row r="108" spans="2:24">
      <c r="B108" s="7" t="s">
        <v>392</v>
      </c>
      <c r="C108" s="90" t="s">
        <v>404</v>
      </c>
      <c r="D108" s="90"/>
      <c r="E108" s="7"/>
      <c r="F108" s="7"/>
      <c r="H108" s="7" t="s">
        <v>392</v>
      </c>
      <c r="I108" s="90" t="s">
        <v>404</v>
      </c>
      <c r="J108" s="90"/>
      <c r="K108" s="7"/>
      <c r="L108" s="7"/>
      <c r="T108" s="7"/>
      <c r="U108" s="7"/>
      <c r="V108" s="7"/>
      <c r="W108" s="7"/>
      <c r="X108" s="7"/>
    </row>
    <row r="109" spans="2:24">
      <c r="B109" s="7" t="s">
        <v>392</v>
      </c>
      <c r="C109" s="7" t="s">
        <v>405</v>
      </c>
      <c r="D109" s="7"/>
      <c r="E109" s="7"/>
      <c r="F109" s="7"/>
      <c r="H109" s="7" t="s">
        <v>392</v>
      </c>
      <c r="I109" s="7" t="s">
        <v>405</v>
      </c>
      <c r="J109" s="7"/>
      <c r="K109" s="7"/>
      <c r="L109" s="7"/>
      <c r="T109" s="7"/>
      <c r="U109" s="7"/>
      <c r="V109" s="7"/>
      <c r="W109" s="7"/>
      <c r="X109" s="7"/>
    </row>
    <row r="110" spans="2:24">
      <c r="B110" s="7" t="s">
        <v>392</v>
      </c>
      <c r="C110" s="7" t="s">
        <v>406</v>
      </c>
      <c r="D110" s="7"/>
      <c r="E110" s="7"/>
      <c r="F110" s="7"/>
      <c r="H110" s="7" t="s">
        <v>392</v>
      </c>
      <c r="I110" s="7" t="s">
        <v>406</v>
      </c>
      <c r="J110" s="7"/>
      <c r="K110" s="7"/>
      <c r="L110" s="7"/>
      <c r="T110" s="7"/>
      <c r="U110" s="7"/>
      <c r="V110" s="7"/>
      <c r="W110" s="7"/>
      <c r="X110" s="7"/>
    </row>
    <row r="111" spans="2:24">
      <c r="B111" s="7"/>
      <c r="C111" s="7"/>
      <c r="D111" s="7"/>
      <c r="E111" s="7"/>
      <c r="F111" s="7"/>
      <c r="H111" s="7"/>
      <c r="I111" s="7"/>
      <c r="J111" s="7" t="s">
        <v>407</v>
      </c>
      <c r="K111" s="46">
        <f>SUM(K78:K109)</f>
        <v>75.246000000000009</v>
      </c>
      <c r="L111" s="7"/>
      <c r="T111" s="7"/>
      <c r="U111" s="7"/>
      <c r="V111" s="7"/>
      <c r="W111" s="7"/>
      <c r="X111" s="7"/>
    </row>
    <row r="112" spans="2:24">
      <c r="B112" s="7"/>
      <c r="C112" s="7"/>
      <c r="D112" s="7" t="s">
        <v>407</v>
      </c>
      <c r="E112" s="48">
        <f>SUM(E79:E110)</f>
        <v>105.8266</v>
      </c>
      <c r="F112" s="7"/>
    </row>
    <row r="115" spans="2:12">
      <c r="B115" s="89" t="s">
        <v>434</v>
      </c>
      <c r="C115" s="89"/>
      <c r="D115" s="89"/>
      <c r="E115" s="89"/>
      <c r="F115" s="89"/>
      <c r="H115" s="89" t="s">
        <v>435</v>
      </c>
      <c r="I115" s="89"/>
      <c r="J115" s="89"/>
      <c r="K115" s="89"/>
      <c r="L115" s="89"/>
    </row>
    <row r="116" spans="2:12">
      <c r="B116" s="7" t="s">
        <v>372</v>
      </c>
      <c r="C116" s="90" t="s">
        <v>373</v>
      </c>
      <c r="D116" s="90"/>
      <c r="E116" s="7">
        <v>1</v>
      </c>
      <c r="F116" s="7"/>
      <c r="H116" s="7" t="s">
        <v>372</v>
      </c>
      <c r="I116" s="90" t="s">
        <v>373</v>
      </c>
      <c r="J116" s="90"/>
      <c r="K116" s="7">
        <v>6</v>
      </c>
      <c r="L116" s="7"/>
    </row>
    <row r="117" spans="2:12">
      <c r="B117" s="7" t="s">
        <v>372</v>
      </c>
      <c r="C117" s="90" t="s">
        <v>375</v>
      </c>
      <c r="D117" s="90"/>
      <c r="E117" s="7"/>
      <c r="F117" s="7"/>
      <c r="H117" s="7" t="s">
        <v>372</v>
      </c>
      <c r="I117" s="90" t="s">
        <v>375</v>
      </c>
      <c r="J117" s="90"/>
      <c r="K117" s="7"/>
      <c r="L117" s="7"/>
    </row>
    <row r="118" spans="2:12">
      <c r="B118" s="7" t="s">
        <v>372</v>
      </c>
      <c r="C118" s="90" t="s">
        <v>376</v>
      </c>
      <c r="D118" s="90"/>
      <c r="E118" s="7"/>
      <c r="F118" s="7"/>
      <c r="H118" s="7" t="s">
        <v>372</v>
      </c>
      <c r="I118" s="90" t="s">
        <v>376</v>
      </c>
      <c r="J118" s="90"/>
      <c r="K118" s="7"/>
      <c r="L118" s="7"/>
    </row>
    <row r="119" spans="2:12">
      <c r="B119" s="7" t="s">
        <v>372</v>
      </c>
      <c r="C119" s="90" t="s">
        <v>377</v>
      </c>
      <c r="D119" s="90"/>
      <c r="E119" s="7"/>
      <c r="F119" s="7"/>
      <c r="H119" s="7" t="s">
        <v>372</v>
      </c>
      <c r="I119" s="90" t="s">
        <v>377</v>
      </c>
      <c r="J119" s="90"/>
      <c r="K119" s="7"/>
      <c r="L119" s="7"/>
    </row>
    <row r="120" spans="2:12">
      <c r="B120" s="7" t="s">
        <v>378</v>
      </c>
      <c r="C120" s="90" t="s">
        <v>379</v>
      </c>
      <c r="D120" s="90"/>
      <c r="E120" s="7"/>
      <c r="F120" s="7"/>
      <c r="H120" s="7" t="s">
        <v>378</v>
      </c>
      <c r="I120" s="90" t="s">
        <v>379</v>
      </c>
      <c r="J120" s="90"/>
      <c r="K120" s="7"/>
      <c r="L120" s="7"/>
    </row>
    <row r="121" spans="2:12">
      <c r="B121" s="7" t="s">
        <v>378</v>
      </c>
      <c r="C121" s="90" t="s">
        <v>380</v>
      </c>
      <c r="D121" s="90"/>
      <c r="E121" s="7"/>
      <c r="F121" s="7"/>
      <c r="H121" s="7" t="s">
        <v>378</v>
      </c>
      <c r="I121" s="90" t="s">
        <v>380</v>
      </c>
      <c r="J121" s="90"/>
      <c r="K121" s="7"/>
      <c r="L121" s="7"/>
    </row>
    <row r="122" spans="2:12">
      <c r="B122" s="7" t="s">
        <v>378</v>
      </c>
      <c r="C122" s="90" t="s">
        <v>381</v>
      </c>
      <c r="D122" s="90"/>
      <c r="E122" s="7"/>
      <c r="F122" s="7"/>
      <c r="H122" s="7" t="s">
        <v>378</v>
      </c>
      <c r="I122" s="90" t="s">
        <v>381</v>
      </c>
      <c r="J122" s="90"/>
      <c r="K122" s="7"/>
      <c r="L122" s="7"/>
    </row>
    <row r="123" spans="2:12">
      <c r="B123" s="7" t="s">
        <v>378</v>
      </c>
      <c r="C123" s="90" t="s">
        <v>382</v>
      </c>
      <c r="D123" s="90"/>
      <c r="E123" s="7"/>
      <c r="F123" s="7"/>
      <c r="H123" s="7" t="s">
        <v>378</v>
      </c>
      <c r="I123" s="90" t="s">
        <v>382</v>
      </c>
      <c r="J123" s="90"/>
      <c r="K123" s="7"/>
      <c r="L123" s="7"/>
    </row>
    <row r="124" spans="2:12">
      <c r="B124" s="7" t="s">
        <v>378</v>
      </c>
      <c r="C124" s="90" t="s">
        <v>383</v>
      </c>
      <c r="D124" s="90"/>
      <c r="E124" s="7"/>
      <c r="F124" s="7"/>
      <c r="H124" s="7" t="s">
        <v>378</v>
      </c>
      <c r="I124" s="90" t="s">
        <v>383</v>
      </c>
      <c r="J124" s="90"/>
      <c r="K124" s="7"/>
      <c r="L124" s="7"/>
    </row>
    <row r="125" spans="2:12">
      <c r="B125" s="7" t="s">
        <v>378</v>
      </c>
      <c r="C125" s="90" t="s">
        <v>384</v>
      </c>
      <c r="D125" s="90"/>
      <c r="E125" s="7"/>
      <c r="F125" s="7"/>
      <c r="H125" s="7" t="s">
        <v>378</v>
      </c>
      <c r="I125" s="90" t="s">
        <v>384</v>
      </c>
      <c r="J125" s="90"/>
      <c r="K125" s="7"/>
      <c r="L125" s="7"/>
    </row>
    <row r="126" spans="2:12">
      <c r="B126" s="7" t="s">
        <v>378</v>
      </c>
      <c r="C126" s="90" t="s">
        <v>385</v>
      </c>
      <c r="D126" s="90"/>
      <c r="E126" s="7"/>
      <c r="F126" s="7"/>
      <c r="H126" s="7" t="s">
        <v>378</v>
      </c>
      <c r="I126" s="90" t="s">
        <v>385</v>
      </c>
      <c r="J126" s="90"/>
      <c r="K126" s="7"/>
      <c r="L126" s="7"/>
    </row>
    <row r="127" spans="2:12">
      <c r="B127" s="7" t="s">
        <v>378</v>
      </c>
      <c r="C127" s="90" t="s">
        <v>386</v>
      </c>
      <c r="D127" s="90"/>
      <c r="E127" s="7"/>
      <c r="F127" s="7"/>
      <c r="H127" s="7" t="s">
        <v>378</v>
      </c>
      <c r="I127" s="90" t="s">
        <v>386</v>
      </c>
      <c r="J127" s="90"/>
      <c r="K127" s="7"/>
      <c r="L127" s="7"/>
    </row>
    <row r="128" spans="2:12">
      <c r="B128" s="7" t="s">
        <v>378</v>
      </c>
      <c r="C128" s="90" t="s">
        <v>387</v>
      </c>
      <c r="D128" s="90"/>
      <c r="E128" s="7"/>
      <c r="F128" s="7"/>
      <c r="H128" s="7" t="s">
        <v>378</v>
      </c>
      <c r="I128" s="90" t="s">
        <v>387</v>
      </c>
      <c r="J128" s="90"/>
      <c r="K128" s="7"/>
      <c r="L128" s="7"/>
    </row>
    <row r="129" spans="2:12">
      <c r="B129" s="7" t="s">
        <v>378</v>
      </c>
      <c r="C129" s="90" t="s">
        <v>388</v>
      </c>
      <c r="D129" s="90"/>
      <c r="E129" s="7"/>
      <c r="F129" s="7"/>
      <c r="H129" s="7" t="s">
        <v>378</v>
      </c>
      <c r="I129" s="90" t="s">
        <v>388</v>
      </c>
      <c r="J129" s="90"/>
      <c r="K129" s="7"/>
      <c r="L129" s="7"/>
    </row>
    <row r="130" spans="2:12">
      <c r="B130" s="7" t="s">
        <v>378</v>
      </c>
      <c r="C130" s="90" t="s">
        <v>389</v>
      </c>
      <c r="D130" s="90"/>
      <c r="E130" s="7"/>
      <c r="F130" s="7"/>
      <c r="H130" s="7" t="s">
        <v>378</v>
      </c>
      <c r="I130" s="90" t="s">
        <v>389</v>
      </c>
      <c r="J130" s="90"/>
      <c r="K130" s="7"/>
      <c r="L130" s="7"/>
    </row>
    <row r="131" spans="2:12">
      <c r="B131" s="7" t="s">
        <v>378</v>
      </c>
      <c r="C131" s="90" t="s">
        <v>390</v>
      </c>
      <c r="D131" s="90"/>
      <c r="E131" s="7"/>
      <c r="F131" s="7"/>
      <c r="H131" s="7" t="s">
        <v>378</v>
      </c>
      <c r="I131" s="90" t="s">
        <v>390</v>
      </c>
      <c r="J131" s="90"/>
      <c r="K131" s="7"/>
      <c r="L131" s="7"/>
    </row>
    <row r="132" spans="2:12">
      <c r="B132" s="7" t="s">
        <v>378</v>
      </c>
      <c r="C132" s="90" t="s">
        <v>391</v>
      </c>
      <c r="D132" s="90"/>
      <c r="E132" s="7"/>
      <c r="F132" s="7"/>
      <c r="H132" s="7" t="s">
        <v>378</v>
      </c>
      <c r="I132" s="90" t="s">
        <v>391</v>
      </c>
      <c r="J132" s="90"/>
      <c r="K132" s="7"/>
      <c r="L132" s="7"/>
    </row>
    <row r="133" spans="2:12">
      <c r="B133" s="7" t="s">
        <v>378</v>
      </c>
      <c r="C133" s="90" t="s">
        <v>377</v>
      </c>
      <c r="D133" s="90"/>
      <c r="E133" s="7"/>
      <c r="F133" s="7"/>
      <c r="H133" s="7" t="s">
        <v>378</v>
      </c>
      <c r="I133" s="90" t="s">
        <v>377</v>
      </c>
      <c r="J133" s="90"/>
      <c r="K133" s="7"/>
      <c r="L133" s="7"/>
    </row>
    <row r="134" spans="2:12">
      <c r="B134" s="7" t="s">
        <v>392</v>
      </c>
      <c r="C134" s="90" t="s">
        <v>393</v>
      </c>
      <c r="D134" s="90"/>
      <c r="E134" s="7"/>
      <c r="F134" s="7"/>
      <c r="H134" s="7" t="s">
        <v>392</v>
      </c>
      <c r="I134" s="90" t="s">
        <v>393</v>
      </c>
      <c r="J134" s="90"/>
      <c r="K134" s="7"/>
      <c r="L134" s="7"/>
    </row>
    <row r="135" spans="2:12">
      <c r="B135" s="7" t="s">
        <v>392</v>
      </c>
      <c r="C135" s="90" t="s">
        <v>394</v>
      </c>
      <c r="D135" s="90"/>
      <c r="E135" s="7"/>
      <c r="F135" s="7"/>
      <c r="H135" s="7" t="s">
        <v>392</v>
      </c>
      <c r="I135" s="90" t="s">
        <v>394</v>
      </c>
      <c r="J135" s="90"/>
      <c r="K135" s="7"/>
      <c r="L135" s="7"/>
    </row>
    <row r="136" spans="2:12">
      <c r="B136" s="7" t="s">
        <v>392</v>
      </c>
      <c r="C136" s="90" t="s">
        <v>395</v>
      </c>
      <c r="D136" s="90"/>
      <c r="E136" s="7"/>
      <c r="F136" s="7"/>
      <c r="H136" s="7" t="s">
        <v>392</v>
      </c>
      <c r="I136" s="90" t="s">
        <v>395</v>
      </c>
      <c r="J136" s="90"/>
      <c r="K136" s="7"/>
      <c r="L136" s="7"/>
    </row>
    <row r="137" spans="2:12">
      <c r="B137" s="7" t="s">
        <v>392</v>
      </c>
      <c r="C137" s="90" t="s">
        <v>396</v>
      </c>
      <c r="D137" s="90"/>
      <c r="E137" s="7"/>
      <c r="F137" s="7"/>
      <c r="H137" s="7" t="s">
        <v>392</v>
      </c>
      <c r="I137" s="90" t="s">
        <v>396</v>
      </c>
      <c r="J137" s="90"/>
      <c r="K137" s="7"/>
      <c r="L137" s="7"/>
    </row>
    <row r="138" spans="2:12">
      <c r="B138" s="7" t="s">
        <v>392</v>
      </c>
      <c r="C138" s="90" t="s">
        <v>397</v>
      </c>
      <c r="D138" s="90"/>
      <c r="E138" s="7"/>
      <c r="F138" s="7"/>
      <c r="H138" s="7" t="s">
        <v>392</v>
      </c>
      <c r="I138" s="90" t="s">
        <v>397</v>
      </c>
      <c r="J138" s="90"/>
      <c r="K138" s="7"/>
      <c r="L138" s="7"/>
    </row>
    <row r="139" spans="2:12">
      <c r="B139" s="7" t="s">
        <v>392</v>
      </c>
      <c r="C139" s="90" t="s">
        <v>398</v>
      </c>
      <c r="D139" s="90"/>
      <c r="E139" s="7"/>
      <c r="F139" s="7"/>
      <c r="H139" s="7" t="s">
        <v>392</v>
      </c>
      <c r="I139" s="90" t="s">
        <v>398</v>
      </c>
      <c r="J139" s="90"/>
      <c r="K139" s="7"/>
      <c r="L139" s="7"/>
    </row>
    <row r="140" spans="2:12">
      <c r="B140" s="7" t="s">
        <v>392</v>
      </c>
      <c r="C140" s="90" t="s">
        <v>399</v>
      </c>
      <c r="D140" s="90"/>
      <c r="E140" s="7"/>
      <c r="F140" s="7"/>
      <c r="H140" s="7" t="s">
        <v>392</v>
      </c>
      <c r="I140" s="90" t="s">
        <v>399</v>
      </c>
      <c r="J140" s="90"/>
      <c r="K140" s="7"/>
      <c r="L140" s="7"/>
    </row>
    <row r="141" spans="2:12">
      <c r="B141" s="7" t="s">
        <v>392</v>
      </c>
      <c r="C141" s="90" t="s">
        <v>400</v>
      </c>
      <c r="D141" s="90"/>
      <c r="E141" s="7"/>
      <c r="F141" s="7"/>
      <c r="H141" s="7" t="s">
        <v>392</v>
      </c>
      <c r="I141" s="90" t="s">
        <v>400</v>
      </c>
      <c r="J141" s="90"/>
      <c r="K141" s="7"/>
      <c r="L141" s="7"/>
    </row>
    <row r="142" spans="2:12">
      <c r="B142" s="7" t="s">
        <v>392</v>
      </c>
      <c r="C142" s="90" t="s">
        <v>401</v>
      </c>
      <c r="D142" s="90"/>
      <c r="E142" s="7"/>
      <c r="F142" s="7"/>
      <c r="H142" s="7" t="s">
        <v>392</v>
      </c>
      <c r="I142" s="90" t="s">
        <v>401</v>
      </c>
      <c r="J142" s="90"/>
      <c r="K142" s="7"/>
      <c r="L142" s="7"/>
    </row>
    <row r="143" spans="2:12">
      <c r="B143" s="7" t="s">
        <v>392</v>
      </c>
      <c r="C143" s="90" t="s">
        <v>402</v>
      </c>
      <c r="D143" s="90"/>
      <c r="E143" s="7"/>
      <c r="F143" s="7"/>
      <c r="H143" s="7" t="s">
        <v>392</v>
      </c>
      <c r="I143" s="90" t="s">
        <v>402</v>
      </c>
      <c r="J143" s="90"/>
      <c r="K143" s="7"/>
      <c r="L143" s="7"/>
    </row>
    <row r="144" spans="2:12">
      <c r="B144" s="7" t="s">
        <v>392</v>
      </c>
      <c r="C144" s="90" t="s">
        <v>402</v>
      </c>
      <c r="D144" s="90"/>
      <c r="E144" s="7"/>
      <c r="F144" s="7"/>
      <c r="H144" s="7" t="s">
        <v>392</v>
      </c>
      <c r="I144" s="90" t="s">
        <v>402</v>
      </c>
      <c r="J144" s="90"/>
      <c r="K144" s="7"/>
      <c r="L144" s="7"/>
    </row>
    <row r="145" spans="2:12">
      <c r="B145" s="7" t="s">
        <v>392</v>
      </c>
      <c r="C145" s="90" t="s">
        <v>404</v>
      </c>
      <c r="D145" s="90"/>
      <c r="E145" s="7"/>
      <c r="F145" s="7"/>
      <c r="H145" s="7" t="s">
        <v>392</v>
      </c>
      <c r="I145" s="90" t="s">
        <v>404</v>
      </c>
      <c r="J145" s="90"/>
      <c r="K145" s="7"/>
      <c r="L145" s="7"/>
    </row>
    <row r="146" spans="2:12">
      <c r="B146" s="7" t="s">
        <v>392</v>
      </c>
      <c r="C146" s="7" t="s">
        <v>405</v>
      </c>
      <c r="D146" s="7"/>
      <c r="E146" s="7"/>
      <c r="F146" s="7"/>
      <c r="H146" s="7" t="s">
        <v>392</v>
      </c>
      <c r="I146" s="7" t="s">
        <v>405</v>
      </c>
      <c r="J146" s="7"/>
      <c r="K146" s="7"/>
      <c r="L146" s="7"/>
    </row>
    <row r="147" spans="2:12">
      <c r="B147" s="7" t="s">
        <v>392</v>
      </c>
      <c r="C147" s="7" t="s">
        <v>406</v>
      </c>
      <c r="D147" s="7"/>
      <c r="E147" s="7"/>
      <c r="F147" s="7"/>
      <c r="H147" s="7" t="s">
        <v>392</v>
      </c>
      <c r="I147" s="7" t="s">
        <v>406</v>
      </c>
      <c r="J147" s="7"/>
      <c r="K147" s="7"/>
      <c r="L147" s="7"/>
    </row>
    <row r="148" spans="2:12">
      <c r="B148" s="7"/>
      <c r="C148" s="7"/>
      <c r="D148" s="7"/>
      <c r="E148" s="7"/>
      <c r="F148" s="7"/>
      <c r="H148" s="7"/>
      <c r="I148" s="7"/>
      <c r="J148" s="7"/>
      <c r="K148" s="7"/>
      <c r="L148" s="7"/>
    </row>
    <row r="149" spans="2:12">
      <c r="B149" s="7"/>
      <c r="C149" s="7"/>
      <c r="D149" s="7" t="s">
        <v>407</v>
      </c>
      <c r="E149" s="7">
        <f>SUM(E116:E147)</f>
        <v>1</v>
      </c>
      <c r="F149" s="7"/>
      <c r="H149" s="7"/>
      <c r="I149" s="7"/>
      <c r="J149" s="7" t="s">
        <v>407</v>
      </c>
      <c r="K149" s="7">
        <f>SUM(K116:K147)</f>
        <v>6</v>
      </c>
      <c r="L149" s="7"/>
    </row>
  </sheetData>
  <mergeCells count="378">
    <mergeCell ref="C143:D143"/>
    <mergeCell ref="I143:J143"/>
    <mergeCell ref="C144:D144"/>
    <mergeCell ref="I144:J144"/>
    <mergeCell ref="C145:D145"/>
    <mergeCell ref="I145:J145"/>
    <mergeCell ref="C138:D138"/>
    <mergeCell ref="I138:J138"/>
    <mergeCell ref="C139:D139"/>
    <mergeCell ref="I139:J139"/>
    <mergeCell ref="C140:D140"/>
    <mergeCell ref="I140:J140"/>
    <mergeCell ref="C141:D141"/>
    <mergeCell ref="I141:J141"/>
    <mergeCell ref="C142:D142"/>
    <mergeCell ref="I142:J142"/>
    <mergeCell ref="C133:D133"/>
    <mergeCell ref="I133:J133"/>
    <mergeCell ref="C134:D134"/>
    <mergeCell ref="I134:J134"/>
    <mergeCell ref="C135:D135"/>
    <mergeCell ref="I135:J135"/>
    <mergeCell ref="C136:D136"/>
    <mergeCell ref="I136:J136"/>
    <mergeCell ref="C137:D137"/>
    <mergeCell ref="I137:J137"/>
    <mergeCell ref="C128:D128"/>
    <mergeCell ref="I128:J128"/>
    <mergeCell ref="C129:D129"/>
    <mergeCell ref="I129:J129"/>
    <mergeCell ref="C130:D130"/>
    <mergeCell ref="I130:J130"/>
    <mergeCell ref="C131:D131"/>
    <mergeCell ref="I131:J131"/>
    <mergeCell ref="C132:D132"/>
    <mergeCell ref="I132:J132"/>
    <mergeCell ref="C123:D123"/>
    <mergeCell ref="I123:J123"/>
    <mergeCell ref="C124:D124"/>
    <mergeCell ref="I124:J124"/>
    <mergeCell ref="C125:D125"/>
    <mergeCell ref="I125:J125"/>
    <mergeCell ref="C126:D126"/>
    <mergeCell ref="I126:J126"/>
    <mergeCell ref="C127:D127"/>
    <mergeCell ref="I127:J127"/>
    <mergeCell ref="C118:D118"/>
    <mergeCell ref="I118:J118"/>
    <mergeCell ref="C119:D119"/>
    <mergeCell ref="I119:J119"/>
    <mergeCell ref="C120:D120"/>
    <mergeCell ref="I120:J120"/>
    <mergeCell ref="C121:D121"/>
    <mergeCell ref="I121:J121"/>
    <mergeCell ref="C122:D122"/>
    <mergeCell ref="I122:J122"/>
    <mergeCell ref="C107:D107"/>
    <mergeCell ref="I107:J107"/>
    <mergeCell ref="C108:D108"/>
    <mergeCell ref="I108:J108"/>
    <mergeCell ref="B115:F115"/>
    <mergeCell ref="H115:L115"/>
    <mergeCell ref="C116:D116"/>
    <mergeCell ref="I116:J116"/>
    <mergeCell ref="C117:D117"/>
    <mergeCell ref="I117:J117"/>
    <mergeCell ref="C102:D102"/>
    <mergeCell ref="I102:J102"/>
    <mergeCell ref="C103:D103"/>
    <mergeCell ref="I103:J103"/>
    <mergeCell ref="C104:D104"/>
    <mergeCell ref="I104:J104"/>
    <mergeCell ref="C105:D105"/>
    <mergeCell ref="I105:J105"/>
    <mergeCell ref="C106:D106"/>
    <mergeCell ref="I106:J106"/>
    <mergeCell ref="C98:D98"/>
    <mergeCell ref="I98:J98"/>
    <mergeCell ref="T98:X98"/>
    <mergeCell ref="C99:D99"/>
    <mergeCell ref="I99:J99"/>
    <mergeCell ref="C100:D100"/>
    <mergeCell ref="I100:J100"/>
    <mergeCell ref="C101:D101"/>
    <mergeCell ref="I101:J101"/>
    <mergeCell ref="N101:Q101"/>
    <mergeCell ref="N93:Q93"/>
    <mergeCell ref="T93:W93"/>
    <mergeCell ref="C94:D94"/>
    <mergeCell ref="I94:J94"/>
    <mergeCell ref="C95:D95"/>
    <mergeCell ref="I95:J95"/>
    <mergeCell ref="C96:D96"/>
    <mergeCell ref="I96:J96"/>
    <mergeCell ref="C97:D97"/>
    <mergeCell ref="I97:J97"/>
    <mergeCell ref="C89:D89"/>
    <mergeCell ref="I89:J89"/>
    <mergeCell ref="C90:D90"/>
    <mergeCell ref="I90:J90"/>
    <mergeCell ref="C91:D91"/>
    <mergeCell ref="I91:J91"/>
    <mergeCell ref="C92:D92"/>
    <mergeCell ref="I92:J92"/>
    <mergeCell ref="C93:D93"/>
    <mergeCell ref="I93:J93"/>
    <mergeCell ref="C84:D84"/>
    <mergeCell ref="I84:J84"/>
    <mergeCell ref="C85:D85"/>
    <mergeCell ref="I85:J85"/>
    <mergeCell ref="C86:D86"/>
    <mergeCell ref="I86:J86"/>
    <mergeCell ref="C87:D87"/>
    <mergeCell ref="I87:J87"/>
    <mergeCell ref="C88:D88"/>
    <mergeCell ref="I88:J88"/>
    <mergeCell ref="C79:D79"/>
    <mergeCell ref="I79:J79"/>
    <mergeCell ref="C80:D80"/>
    <mergeCell ref="I80:J80"/>
    <mergeCell ref="C81:D81"/>
    <mergeCell ref="I81:J81"/>
    <mergeCell ref="C82:D82"/>
    <mergeCell ref="I82:J82"/>
    <mergeCell ref="C83:D83"/>
    <mergeCell ref="I83:J83"/>
    <mergeCell ref="C70:D70"/>
    <mergeCell ref="I70:J70"/>
    <mergeCell ref="O70:P70"/>
    <mergeCell ref="U70:V70"/>
    <mergeCell ref="C71:D71"/>
    <mergeCell ref="I71:J71"/>
    <mergeCell ref="O71:P71"/>
    <mergeCell ref="U71:V71"/>
    <mergeCell ref="B78:F78"/>
    <mergeCell ref="H78:L78"/>
    <mergeCell ref="N78:Q78"/>
    <mergeCell ref="T78:W78"/>
    <mergeCell ref="C67:D67"/>
    <mergeCell ref="I67:J67"/>
    <mergeCell ref="O67:P67"/>
    <mergeCell ref="U67:V67"/>
    <mergeCell ref="C68:D68"/>
    <mergeCell ref="I68:J68"/>
    <mergeCell ref="O68:P68"/>
    <mergeCell ref="U68:V68"/>
    <mergeCell ref="C69:D69"/>
    <mergeCell ref="I69:J69"/>
    <mergeCell ref="O69:P69"/>
    <mergeCell ref="U69:V69"/>
    <mergeCell ref="C64:D64"/>
    <mergeCell ref="I64:J64"/>
    <mergeCell ref="O64:P64"/>
    <mergeCell ref="U64:V64"/>
    <mergeCell ref="C65:D65"/>
    <mergeCell ref="I65:J65"/>
    <mergeCell ref="O65:P65"/>
    <mergeCell ref="U65:V65"/>
    <mergeCell ref="C66:D66"/>
    <mergeCell ref="I66:J66"/>
    <mergeCell ref="O66:P66"/>
    <mergeCell ref="U66:V66"/>
    <mergeCell ref="C61:D61"/>
    <mergeCell ref="I61:J61"/>
    <mergeCell ref="O61:P61"/>
    <mergeCell ref="U61:V61"/>
    <mergeCell ref="C62:D62"/>
    <mergeCell ref="I62:J62"/>
    <mergeCell ref="O62:P62"/>
    <mergeCell ref="U62:V62"/>
    <mergeCell ref="C63:D63"/>
    <mergeCell ref="I63:J63"/>
    <mergeCell ref="O63:P63"/>
    <mergeCell ref="U63:V63"/>
    <mergeCell ref="C58:D58"/>
    <mergeCell ref="I58:J58"/>
    <mergeCell ref="O58:P58"/>
    <mergeCell ref="U58:V58"/>
    <mergeCell ref="C59:D59"/>
    <mergeCell ref="I59:J59"/>
    <mergeCell ref="O59:P59"/>
    <mergeCell ref="U59:V59"/>
    <mergeCell ref="C60:D60"/>
    <mergeCell ref="I60:J60"/>
    <mergeCell ref="O60:P60"/>
    <mergeCell ref="U60:V60"/>
    <mergeCell ref="C55:D55"/>
    <mergeCell ref="I55:J55"/>
    <mergeCell ref="O55:P55"/>
    <mergeCell ref="U55:V55"/>
    <mergeCell ref="C56:D56"/>
    <mergeCell ref="I56:J56"/>
    <mergeCell ref="O56:P56"/>
    <mergeCell ref="U56:V56"/>
    <mergeCell ref="C57:D57"/>
    <mergeCell ref="I57:J57"/>
    <mergeCell ref="O57:P57"/>
    <mergeCell ref="U57:V57"/>
    <mergeCell ref="C52:D52"/>
    <mergeCell ref="I52:J52"/>
    <mergeCell ref="O52:P52"/>
    <mergeCell ref="U52:V52"/>
    <mergeCell ref="C53:D53"/>
    <mergeCell ref="I53:J53"/>
    <mergeCell ref="O53:P53"/>
    <mergeCell ref="U53:V53"/>
    <mergeCell ref="C54:D54"/>
    <mergeCell ref="I54:J54"/>
    <mergeCell ref="O54:P54"/>
    <mergeCell ref="U54:V54"/>
    <mergeCell ref="C49:D49"/>
    <mergeCell ref="I49:J49"/>
    <mergeCell ref="O49:P49"/>
    <mergeCell ref="U49:V49"/>
    <mergeCell ref="C50:D50"/>
    <mergeCell ref="I50:J50"/>
    <mergeCell ref="O50:P50"/>
    <mergeCell ref="U50:V50"/>
    <mergeCell ref="C51:D51"/>
    <mergeCell ref="I51:J51"/>
    <mergeCell ref="O51:P51"/>
    <mergeCell ref="U51:V51"/>
    <mergeCell ref="C46:D46"/>
    <mergeCell ref="I46:J46"/>
    <mergeCell ref="O46:P46"/>
    <mergeCell ref="U46:V46"/>
    <mergeCell ref="C47:D47"/>
    <mergeCell ref="I47:J47"/>
    <mergeCell ref="O47:P47"/>
    <mergeCell ref="U47:V47"/>
    <mergeCell ref="C48:D48"/>
    <mergeCell ref="I48:J48"/>
    <mergeCell ref="O48:P48"/>
    <mergeCell ref="U48:V48"/>
    <mergeCell ref="C43:D43"/>
    <mergeCell ref="I43:J43"/>
    <mergeCell ref="O43:P43"/>
    <mergeCell ref="U43:V43"/>
    <mergeCell ref="C44:D44"/>
    <mergeCell ref="I44:J44"/>
    <mergeCell ref="O44:P44"/>
    <mergeCell ref="U44:V44"/>
    <mergeCell ref="C45:D45"/>
    <mergeCell ref="I45:J45"/>
    <mergeCell ref="O45:P45"/>
    <mergeCell ref="U45:V45"/>
    <mergeCell ref="C33:D33"/>
    <mergeCell ref="I33:J33"/>
    <mergeCell ref="O33:P33"/>
    <mergeCell ref="U33:V33"/>
    <mergeCell ref="B41:F41"/>
    <mergeCell ref="H41:L41"/>
    <mergeCell ref="N41:R41"/>
    <mergeCell ref="T41:X41"/>
    <mergeCell ref="C42:D42"/>
    <mergeCell ref="I42:J42"/>
    <mergeCell ref="O42:P42"/>
    <mergeCell ref="U42:V42"/>
    <mergeCell ref="C30:D30"/>
    <mergeCell ref="I30:J30"/>
    <mergeCell ref="O30:P30"/>
    <mergeCell ref="U30:V30"/>
    <mergeCell ref="C31:D31"/>
    <mergeCell ref="I31:J31"/>
    <mergeCell ref="O31:P31"/>
    <mergeCell ref="U31:V31"/>
    <mergeCell ref="C32:D32"/>
    <mergeCell ref="I32:J32"/>
    <mergeCell ref="O32:P32"/>
    <mergeCell ref="U32:V32"/>
    <mergeCell ref="C27:D27"/>
    <mergeCell ref="I27:J27"/>
    <mergeCell ref="O27:P27"/>
    <mergeCell ref="U27:V27"/>
    <mergeCell ref="C28:D28"/>
    <mergeCell ref="I28:J28"/>
    <mergeCell ref="O28:P28"/>
    <mergeCell ref="U28:V28"/>
    <mergeCell ref="C29:D29"/>
    <mergeCell ref="I29:J29"/>
    <mergeCell ref="O29:P29"/>
    <mergeCell ref="U29:V29"/>
    <mergeCell ref="C24:D24"/>
    <mergeCell ref="I24:J24"/>
    <mergeCell ref="O24:P24"/>
    <mergeCell ref="U24:V24"/>
    <mergeCell ref="C25:D25"/>
    <mergeCell ref="I25:J25"/>
    <mergeCell ref="O25:P25"/>
    <mergeCell ref="U25:V25"/>
    <mergeCell ref="C26:D26"/>
    <mergeCell ref="I26:J26"/>
    <mergeCell ref="O26:P26"/>
    <mergeCell ref="U26:V26"/>
    <mergeCell ref="C21:D21"/>
    <mergeCell ref="I21:J21"/>
    <mergeCell ref="O21:P21"/>
    <mergeCell ref="U21:V21"/>
    <mergeCell ref="C22:D22"/>
    <mergeCell ref="I22:J22"/>
    <mergeCell ref="O22:P22"/>
    <mergeCell ref="U22:V22"/>
    <mergeCell ref="C23:D23"/>
    <mergeCell ref="I23:J23"/>
    <mergeCell ref="O23:P23"/>
    <mergeCell ref="U23:V23"/>
    <mergeCell ref="C18:D18"/>
    <mergeCell ref="I18:J18"/>
    <mergeCell ref="O18:P18"/>
    <mergeCell ref="U18:V18"/>
    <mergeCell ref="C19:D19"/>
    <mergeCell ref="I19:J19"/>
    <mergeCell ref="O19:P19"/>
    <mergeCell ref="U19:V19"/>
    <mergeCell ref="C20:D20"/>
    <mergeCell ref="I20:J20"/>
    <mergeCell ref="O20:P20"/>
    <mergeCell ref="U20:V20"/>
    <mergeCell ref="C15:D15"/>
    <mergeCell ref="I15:J15"/>
    <mergeCell ref="O15:P15"/>
    <mergeCell ref="U15:V15"/>
    <mergeCell ref="C16:D16"/>
    <mergeCell ref="I16:J16"/>
    <mergeCell ref="O16:P16"/>
    <mergeCell ref="U16:V16"/>
    <mergeCell ref="C17:D17"/>
    <mergeCell ref="I17:J17"/>
    <mergeCell ref="O17:P17"/>
    <mergeCell ref="U17:V17"/>
    <mergeCell ref="C12:D12"/>
    <mergeCell ref="I12:J12"/>
    <mergeCell ref="O12:P12"/>
    <mergeCell ref="U12:V12"/>
    <mergeCell ref="C13:D13"/>
    <mergeCell ref="I13:J13"/>
    <mergeCell ref="O13:P13"/>
    <mergeCell ref="U13:V13"/>
    <mergeCell ref="C14:D14"/>
    <mergeCell ref="I14:J14"/>
    <mergeCell ref="O14:P14"/>
    <mergeCell ref="U14:V14"/>
    <mergeCell ref="C9:D9"/>
    <mergeCell ref="I9:J9"/>
    <mergeCell ref="O9:P9"/>
    <mergeCell ref="U9:V9"/>
    <mergeCell ref="C10:D10"/>
    <mergeCell ref="I10:J10"/>
    <mergeCell ref="O10:P10"/>
    <mergeCell ref="U10:V10"/>
    <mergeCell ref="C11:D11"/>
    <mergeCell ref="I11:J11"/>
    <mergeCell ref="O11:P11"/>
    <mergeCell ref="U11:V11"/>
    <mergeCell ref="C6:D6"/>
    <mergeCell ref="I6:J6"/>
    <mergeCell ref="O6:P6"/>
    <mergeCell ref="U6:V6"/>
    <mergeCell ref="C7:D7"/>
    <mergeCell ref="I7:J7"/>
    <mergeCell ref="O7:P7"/>
    <mergeCell ref="U7:V7"/>
    <mergeCell ref="C8:D8"/>
    <mergeCell ref="I8:J8"/>
    <mergeCell ref="O8:P8"/>
    <mergeCell ref="U8:V8"/>
    <mergeCell ref="B3:F3"/>
    <mergeCell ref="H3:L3"/>
    <mergeCell ref="N3:R3"/>
    <mergeCell ref="T3:X3"/>
    <mergeCell ref="C4:D4"/>
    <mergeCell ref="I4:J4"/>
    <mergeCell ref="O4:P4"/>
    <mergeCell ref="U4:V4"/>
    <mergeCell ref="C5:D5"/>
    <mergeCell ref="I5:J5"/>
    <mergeCell ref="O5:P5"/>
    <mergeCell ref="U5:V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showGridLines="0" topLeftCell="A10" workbookViewId="0">
      <selection activeCell="I19" sqref="I19"/>
    </sheetView>
  </sheetViews>
  <sheetFormatPr defaultColWidth="8.85546875" defaultRowHeight="16.5" customHeight="1"/>
  <cols>
    <col min="1" max="1" width="27.85546875" style="33" customWidth="1"/>
    <col min="2" max="2" width="26.28515625" style="33" customWidth="1"/>
    <col min="3" max="3" width="17.42578125" style="33" customWidth="1"/>
    <col min="4" max="6" width="17.5703125" style="33" customWidth="1"/>
    <col min="7" max="16384" width="8.85546875" style="33"/>
  </cols>
  <sheetData>
    <row r="1" spans="1:11" ht="9.75" customHeight="1">
      <c r="A1" s="95" t="s">
        <v>436</v>
      </c>
      <c r="B1" s="96"/>
      <c r="C1" s="96"/>
      <c r="D1" s="96"/>
      <c r="E1" s="96"/>
      <c r="F1" s="97"/>
      <c r="G1" s="34"/>
      <c r="H1" s="34"/>
      <c r="I1" s="34"/>
    </row>
    <row r="2" spans="1:11" ht="9.75" customHeight="1">
      <c r="A2" s="98"/>
      <c r="B2" s="99"/>
      <c r="C2" s="99"/>
      <c r="D2" s="99"/>
      <c r="E2" s="99"/>
      <c r="F2" s="100"/>
      <c r="G2" s="35"/>
      <c r="H2" s="35"/>
      <c r="I2" s="35"/>
    </row>
    <row r="3" spans="1:11" ht="9.75" customHeight="1">
      <c r="A3" s="98"/>
      <c r="B3" s="99"/>
      <c r="C3" s="99"/>
      <c r="D3" s="99"/>
      <c r="E3" s="99"/>
      <c r="F3" s="100"/>
      <c r="G3" s="35"/>
      <c r="H3" s="35"/>
      <c r="I3" s="35"/>
      <c r="J3" s="45"/>
      <c r="K3" s="45"/>
    </row>
    <row r="4" spans="1:11" ht="9.75" customHeight="1">
      <c r="A4" s="98"/>
      <c r="B4" s="99"/>
      <c r="C4" s="99"/>
      <c r="D4" s="99"/>
      <c r="E4" s="99"/>
      <c r="F4" s="100"/>
      <c r="G4" s="35"/>
      <c r="H4" s="35"/>
      <c r="I4" s="35"/>
      <c r="J4" s="45"/>
      <c r="K4" s="45"/>
    </row>
    <row r="5" spans="1:11" ht="9.75" customHeight="1">
      <c r="A5" s="98"/>
      <c r="B5" s="99"/>
      <c r="C5" s="99"/>
      <c r="D5" s="99"/>
      <c r="E5" s="99"/>
      <c r="F5" s="100"/>
      <c r="G5" s="35"/>
      <c r="H5" s="35"/>
      <c r="I5" s="35"/>
    </row>
    <row r="6" spans="1:11" ht="9.75" customHeight="1">
      <c r="A6" s="98"/>
      <c r="B6" s="99"/>
      <c r="C6" s="99"/>
      <c r="D6" s="99"/>
      <c r="E6" s="99"/>
      <c r="F6" s="100"/>
      <c r="G6" s="35"/>
      <c r="H6" s="35"/>
      <c r="I6" s="35"/>
    </row>
    <row r="7" spans="1:11" ht="9.75" customHeight="1">
      <c r="A7" s="101"/>
      <c r="B7" s="102"/>
      <c r="C7" s="102"/>
      <c r="D7" s="102"/>
      <c r="E7" s="102"/>
      <c r="F7" s="103"/>
    </row>
    <row r="10" spans="1:11" ht="41.25" customHeight="1">
      <c r="D10" s="94" t="s">
        <v>437</v>
      </c>
      <c r="E10" s="94"/>
      <c r="F10" s="94"/>
    </row>
    <row r="11" spans="1:11" ht="24.75" customHeight="1">
      <c r="A11" s="36" t="s">
        <v>438</v>
      </c>
      <c r="B11" s="36" t="s">
        <v>439</v>
      </c>
      <c r="C11" s="37"/>
      <c r="D11" s="38" t="s">
        <v>440</v>
      </c>
      <c r="E11" s="38" t="s">
        <v>441</v>
      </c>
      <c r="F11" s="38" t="s">
        <v>442</v>
      </c>
      <c r="H11" s="39"/>
    </row>
    <row r="12" spans="1:11">
      <c r="A12" s="40" t="s">
        <v>443</v>
      </c>
      <c r="B12" s="41">
        <v>3</v>
      </c>
      <c r="D12" s="38">
        <v>3</v>
      </c>
      <c r="E12" s="38">
        <v>4</v>
      </c>
      <c r="F12" s="38">
        <v>5.5</v>
      </c>
    </row>
    <row r="13" spans="1:11">
      <c r="A13" s="40" t="s">
        <v>444</v>
      </c>
      <c r="B13" s="41">
        <v>0.8</v>
      </c>
      <c r="D13" s="38">
        <v>0.8</v>
      </c>
      <c r="E13" s="38">
        <v>0.8</v>
      </c>
      <c r="F13" s="38">
        <v>1</v>
      </c>
    </row>
    <row r="14" spans="1:11">
      <c r="A14" s="40" t="s">
        <v>445</v>
      </c>
      <c r="B14" s="41">
        <v>0.97</v>
      </c>
      <c r="D14" s="38">
        <v>0.97</v>
      </c>
      <c r="E14" s="38">
        <v>1.27</v>
      </c>
      <c r="F14" s="38">
        <v>1.27</v>
      </c>
    </row>
    <row r="15" spans="1:11">
      <c r="A15" s="40" t="s">
        <v>446</v>
      </c>
      <c r="B15" s="41">
        <v>0.59</v>
      </c>
      <c r="D15" s="38">
        <v>0.59</v>
      </c>
      <c r="E15" s="38">
        <v>1.23</v>
      </c>
      <c r="F15" s="38">
        <v>1.39</v>
      </c>
    </row>
    <row r="16" spans="1:11">
      <c r="A16" s="40" t="s">
        <v>447</v>
      </c>
      <c r="B16" s="41">
        <v>6.16</v>
      </c>
      <c r="D16" s="38">
        <v>6.16</v>
      </c>
      <c r="E16" s="38">
        <v>7.4</v>
      </c>
      <c r="F16" s="38">
        <v>8.9600000000000009</v>
      </c>
    </row>
    <row r="17" spans="1:6">
      <c r="A17" s="40" t="s">
        <v>448</v>
      </c>
      <c r="B17" s="41">
        <v>0.65</v>
      </c>
      <c r="D17" s="38">
        <v>0.65</v>
      </c>
      <c r="E17" s="38">
        <v>0.65</v>
      </c>
      <c r="F17" s="38">
        <v>0.65</v>
      </c>
    </row>
    <row r="18" spans="1:6">
      <c r="A18" s="40" t="s">
        <v>449</v>
      </c>
      <c r="B18" s="41">
        <v>3</v>
      </c>
      <c r="D18" s="38">
        <v>3</v>
      </c>
      <c r="E18" s="38">
        <v>3</v>
      </c>
      <c r="F18" s="38">
        <v>3</v>
      </c>
    </row>
    <row r="19" spans="1:6">
      <c r="A19" s="40" t="s">
        <v>450</v>
      </c>
      <c r="B19" s="41">
        <v>2</v>
      </c>
      <c r="D19" s="38">
        <v>2</v>
      </c>
      <c r="E19" s="38">
        <v>2</v>
      </c>
      <c r="F19" s="38">
        <v>5</v>
      </c>
    </row>
    <row r="20" spans="1:6">
      <c r="A20" s="40" t="s">
        <v>451</v>
      </c>
      <c r="B20" s="41">
        <v>4.5</v>
      </c>
      <c r="D20" s="38">
        <v>0</v>
      </c>
      <c r="E20" s="38">
        <v>0</v>
      </c>
      <c r="F20" s="38">
        <v>0</v>
      </c>
    </row>
    <row r="21" spans="1:6">
      <c r="A21" s="42" t="s">
        <v>452</v>
      </c>
      <c r="B21" s="43">
        <f>TRUNC((((((1+B12/100+B13/100+B14/100)*(1+B15/100)*(1+B16/100))/(1-(B17/100+B18/100+B19/100+B20/100)))-1)*100)/100,2)</f>
        <v>0.24</v>
      </c>
    </row>
    <row r="23" spans="1:6" ht="36.75" customHeight="1">
      <c r="D23" s="94" t="s">
        <v>453</v>
      </c>
      <c r="E23" s="94"/>
      <c r="F23" s="94"/>
    </row>
    <row r="24" spans="1:6" ht="39" customHeight="1">
      <c r="A24" s="104" t="s">
        <v>454</v>
      </c>
      <c r="B24" s="104"/>
      <c r="D24" s="44">
        <v>0.2034</v>
      </c>
      <c r="E24" s="44">
        <v>0.22120000000000001</v>
      </c>
      <c r="F24" s="44">
        <v>0.25</v>
      </c>
    </row>
    <row r="25" spans="1:6">
      <c r="A25" s="104"/>
      <c r="B25" s="104"/>
    </row>
    <row r="26" spans="1:6">
      <c r="A26" s="104"/>
      <c r="B26" s="104"/>
    </row>
    <row r="27" spans="1:6" ht="30.75" customHeight="1"/>
  </sheetData>
  <mergeCells count="4">
    <mergeCell ref="D10:F10"/>
    <mergeCell ref="D23:F23"/>
    <mergeCell ref="A1:F7"/>
    <mergeCell ref="A24:B26"/>
  </mergeCells>
  <pageMargins left="0.5" right="0.5" top="1" bottom="1" header="0.5" footer="0.5"/>
  <pageSetup paperSize="9" scale="76" fitToHeight="0" orientation="portrait"/>
  <headerFooter>
    <oddHeader>&amp;L &amp;CCONSELHO REGIONAL DE ENFERMAGEM DE GOIAS
CNPJ: 00.237.222/0001-22</oddHeader>
    <oddFooter>&amp;L &amp;CRua 38  - Setor Marista - Goiânia / GO
(62) 3239-5300 / gerencia@corengo.org.br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L38"/>
  <sheetViews>
    <sheetView workbookViewId="0">
      <selection activeCell="N32" sqref="N32"/>
    </sheetView>
  </sheetViews>
  <sheetFormatPr defaultColWidth="9.140625" defaultRowHeight="12.75"/>
  <sheetData>
    <row r="4" spans="1:12">
      <c r="D4" t="s">
        <v>455</v>
      </c>
      <c r="E4" t="s">
        <v>456</v>
      </c>
      <c r="F4" t="s">
        <v>457</v>
      </c>
      <c r="G4" t="s">
        <v>458</v>
      </c>
      <c r="H4" t="s">
        <v>459</v>
      </c>
      <c r="J4" t="s">
        <v>460</v>
      </c>
      <c r="L4" t="s">
        <v>461</v>
      </c>
    </row>
    <row r="5" spans="1:12">
      <c r="A5" t="s">
        <v>372</v>
      </c>
      <c r="B5" s="105" t="s">
        <v>373</v>
      </c>
      <c r="C5" s="105"/>
    </row>
    <row r="6" spans="1:12">
      <c r="A6" t="s">
        <v>372</v>
      </c>
      <c r="B6" s="105" t="s">
        <v>375</v>
      </c>
      <c r="C6" s="105"/>
    </row>
    <row r="7" spans="1:12">
      <c r="A7" t="s">
        <v>372</v>
      </c>
      <c r="B7" s="105" t="s">
        <v>376</v>
      </c>
      <c r="C7" s="105"/>
    </row>
    <row r="8" spans="1:12">
      <c r="A8" t="s">
        <v>372</v>
      </c>
      <c r="B8" s="105" t="s">
        <v>377</v>
      </c>
      <c r="C8" s="105"/>
    </row>
    <row r="9" spans="1:12">
      <c r="A9" t="s">
        <v>378</v>
      </c>
      <c r="B9" s="105" t="s">
        <v>379</v>
      </c>
      <c r="C9" s="105"/>
    </row>
    <row r="10" spans="1:12">
      <c r="A10" t="s">
        <v>378</v>
      </c>
      <c r="B10" s="105" t="s">
        <v>380</v>
      </c>
      <c r="C10" s="105"/>
    </row>
    <row r="11" spans="1:12">
      <c r="A11" t="s">
        <v>378</v>
      </c>
      <c r="B11" s="105" t="s">
        <v>381</v>
      </c>
      <c r="C11" s="105"/>
    </row>
    <row r="12" spans="1:12">
      <c r="A12" t="s">
        <v>378</v>
      </c>
      <c r="B12" s="105" t="s">
        <v>382</v>
      </c>
      <c r="C12" s="105"/>
    </row>
    <row r="13" spans="1:12">
      <c r="A13" t="s">
        <v>378</v>
      </c>
      <c r="B13" s="105" t="s">
        <v>383</v>
      </c>
      <c r="C13" s="105"/>
    </row>
    <row r="14" spans="1:12">
      <c r="A14" t="s">
        <v>378</v>
      </c>
      <c r="B14" s="105" t="s">
        <v>384</v>
      </c>
      <c r="C14" s="105"/>
    </row>
    <row r="15" spans="1:12">
      <c r="A15" t="s">
        <v>378</v>
      </c>
      <c r="B15" s="105" t="s">
        <v>385</v>
      </c>
      <c r="C15" s="105"/>
    </row>
    <row r="16" spans="1:12">
      <c r="A16" t="s">
        <v>378</v>
      </c>
      <c r="B16" s="105" t="s">
        <v>386</v>
      </c>
      <c r="C16" s="105"/>
    </row>
    <row r="17" spans="1:3">
      <c r="A17" t="s">
        <v>378</v>
      </c>
      <c r="B17" s="105" t="s">
        <v>387</v>
      </c>
      <c r="C17" s="105"/>
    </row>
    <row r="18" spans="1:3">
      <c r="A18" t="s">
        <v>378</v>
      </c>
      <c r="B18" s="105" t="s">
        <v>388</v>
      </c>
      <c r="C18" s="105"/>
    </row>
    <row r="19" spans="1:3">
      <c r="A19" t="s">
        <v>378</v>
      </c>
      <c r="B19" s="105" t="s">
        <v>389</v>
      </c>
      <c r="C19" s="105"/>
    </row>
    <row r="20" spans="1:3">
      <c r="A20" t="s">
        <v>378</v>
      </c>
      <c r="B20" s="105" t="s">
        <v>390</v>
      </c>
      <c r="C20" s="105"/>
    </row>
    <row r="21" spans="1:3">
      <c r="A21" t="s">
        <v>378</v>
      </c>
      <c r="B21" s="105" t="s">
        <v>391</v>
      </c>
      <c r="C21" s="105"/>
    </row>
    <row r="22" spans="1:3">
      <c r="A22" t="s">
        <v>378</v>
      </c>
      <c r="B22" s="105" t="s">
        <v>377</v>
      </c>
      <c r="C22" s="105"/>
    </row>
    <row r="23" spans="1:3">
      <c r="A23" t="s">
        <v>392</v>
      </c>
      <c r="B23" s="105" t="s">
        <v>393</v>
      </c>
      <c r="C23" s="105"/>
    </row>
    <row r="24" spans="1:3">
      <c r="A24" t="s">
        <v>392</v>
      </c>
      <c r="B24" s="105" t="s">
        <v>394</v>
      </c>
      <c r="C24" s="105"/>
    </row>
    <row r="25" spans="1:3">
      <c r="A25" t="s">
        <v>392</v>
      </c>
      <c r="B25" s="105" t="s">
        <v>395</v>
      </c>
      <c r="C25" s="105"/>
    </row>
    <row r="26" spans="1:3">
      <c r="A26" t="s">
        <v>392</v>
      </c>
      <c r="B26" s="105" t="s">
        <v>396</v>
      </c>
      <c r="C26" s="105"/>
    </row>
    <row r="27" spans="1:3">
      <c r="A27" t="s">
        <v>392</v>
      </c>
      <c r="B27" s="105" t="s">
        <v>397</v>
      </c>
      <c r="C27" s="105"/>
    </row>
    <row r="28" spans="1:3">
      <c r="A28" t="s">
        <v>392</v>
      </c>
      <c r="B28" s="105" t="s">
        <v>398</v>
      </c>
      <c r="C28" s="105"/>
    </row>
    <row r="29" spans="1:3">
      <c r="A29" t="s">
        <v>392</v>
      </c>
      <c r="B29" s="105" t="s">
        <v>399</v>
      </c>
      <c r="C29" s="105"/>
    </row>
    <row r="30" spans="1:3">
      <c r="A30" t="s">
        <v>392</v>
      </c>
      <c r="B30" s="105" t="s">
        <v>400</v>
      </c>
      <c r="C30" s="105"/>
    </row>
    <row r="31" spans="1:3">
      <c r="A31" t="s">
        <v>392</v>
      </c>
      <c r="B31" s="105" t="s">
        <v>401</v>
      </c>
      <c r="C31" s="105"/>
    </row>
    <row r="32" spans="1:3">
      <c r="A32" t="s">
        <v>392</v>
      </c>
      <c r="B32" s="105" t="s">
        <v>402</v>
      </c>
      <c r="C32" s="105"/>
    </row>
    <row r="33" spans="1:4">
      <c r="A33" t="s">
        <v>392</v>
      </c>
      <c r="B33" s="105" t="s">
        <v>402</v>
      </c>
      <c r="C33" s="105"/>
    </row>
    <row r="34" spans="1:4">
      <c r="A34" t="s">
        <v>392</v>
      </c>
      <c r="B34" s="105" t="s">
        <v>404</v>
      </c>
      <c r="C34" s="105"/>
    </row>
    <row r="35" spans="1:4">
      <c r="A35" t="s">
        <v>392</v>
      </c>
      <c r="B35" t="s">
        <v>405</v>
      </c>
    </row>
    <row r="36" spans="1:4">
      <c r="A36" t="s">
        <v>392</v>
      </c>
      <c r="B36" t="s">
        <v>406</v>
      </c>
    </row>
    <row r="38" spans="1:4">
      <c r="C38" t="s">
        <v>407</v>
      </c>
      <c r="D38">
        <f>SUM(D5:D36)</f>
        <v>0</v>
      </c>
    </row>
  </sheetData>
  <mergeCells count="30"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</mergeCells>
  <pageMargins left="0.75" right="0.75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BA36"/>
  <sheetViews>
    <sheetView showGridLines="0" tabSelected="1" view="pageBreakPreview" topLeftCell="A13" zoomScaleNormal="100" workbookViewId="0">
      <selection activeCell="E34" sqref="E34"/>
    </sheetView>
  </sheetViews>
  <sheetFormatPr defaultColWidth="9.140625" defaultRowHeight="12.75"/>
  <cols>
    <col min="1" max="1" width="3.28515625" customWidth="1"/>
    <col min="2" max="2" width="6.7109375" customWidth="1"/>
    <col min="3" max="3" width="9.140625" style="10"/>
    <col min="4" max="4" width="13" style="10" customWidth="1"/>
    <col min="5" max="5" width="76.42578125" style="11" customWidth="1"/>
    <col min="6" max="6" width="5.42578125" style="10" customWidth="1"/>
    <col min="7" max="7" width="10.28515625" style="10" customWidth="1"/>
    <col min="8" max="8" width="10.5703125" style="10"/>
    <col min="9" max="9" width="8.5703125" style="10" customWidth="1"/>
    <col min="10" max="10" width="10.28515625" style="10"/>
    <col min="11" max="11" width="10" style="12" bestFit="1" customWidth="1"/>
    <col min="12" max="12" width="11.7109375"/>
    <col min="13" max="13" width="10.5703125"/>
  </cols>
  <sheetData>
    <row r="6" spans="1:53">
      <c r="C6" s="13" t="s">
        <v>0</v>
      </c>
    </row>
    <row r="7" spans="1:53">
      <c r="C7" s="13" t="s">
        <v>1</v>
      </c>
    </row>
    <row r="8" spans="1:53" ht="12" customHeight="1">
      <c r="C8" s="13" t="s">
        <v>2</v>
      </c>
    </row>
    <row r="9" spans="1:53">
      <c r="C9" s="13" t="s">
        <v>3</v>
      </c>
    </row>
    <row r="10" spans="1:53">
      <c r="C10" s="13" t="s">
        <v>4</v>
      </c>
      <c r="E10" s="13"/>
    </row>
    <row r="12" spans="1:53" ht="36">
      <c r="B12" s="4" t="s">
        <v>462</v>
      </c>
      <c r="C12" s="14" t="s">
        <v>5</v>
      </c>
      <c r="D12" s="14" t="s">
        <v>6</v>
      </c>
      <c r="E12" s="14" t="s">
        <v>7</v>
      </c>
      <c r="F12" s="14" t="s">
        <v>8</v>
      </c>
      <c r="G12" s="14" t="s">
        <v>9</v>
      </c>
      <c r="H12" s="14" t="s">
        <v>10</v>
      </c>
      <c r="I12" s="26" t="s">
        <v>11</v>
      </c>
      <c r="J12" s="26" t="s">
        <v>12</v>
      </c>
      <c r="K12" s="14" t="s">
        <v>13</v>
      </c>
    </row>
    <row r="13" spans="1:53" s="8" customFormat="1" ht="11.25" customHeight="1">
      <c r="B13" s="15"/>
      <c r="C13" s="16"/>
      <c r="D13" s="16"/>
      <c r="E13" s="17" t="s">
        <v>14</v>
      </c>
      <c r="F13" s="15"/>
      <c r="G13" s="15"/>
      <c r="H13" s="15"/>
      <c r="I13" s="15"/>
      <c r="J13" s="15"/>
      <c r="K13" s="27">
        <f>SUM(K14:K25)</f>
        <v>32619.145</v>
      </c>
      <c r="AQ13"/>
      <c r="AR13"/>
      <c r="AS13"/>
      <c r="AT13"/>
      <c r="AU13"/>
      <c r="AV13"/>
      <c r="AW13"/>
      <c r="AX13"/>
      <c r="AY13"/>
      <c r="AZ13"/>
      <c r="BA13"/>
    </row>
    <row r="14" spans="1:53" s="9" customFormat="1" ht="25.5">
      <c r="A14"/>
      <c r="B14" s="4">
        <v>1</v>
      </c>
      <c r="C14" s="5" t="s">
        <v>15</v>
      </c>
      <c r="D14" s="5" t="s">
        <v>16</v>
      </c>
      <c r="E14" s="6" t="s">
        <v>463</v>
      </c>
      <c r="F14" s="5" t="s">
        <v>18</v>
      </c>
      <c r="G14" s="4">
        <v>60</v>
      </c>
      <c r="H14" s="4">
        <v>51.25</v>
      </c>
      <c r="I14" s="4">
        <v>7.22</v>
      </c>
      <c r="J14" s="4">
        <f t="shared" ref="J14:J20" si="0">H14+I14</f>
        <v>58.47</v>
      </c>
      <c r="K14" s="28">
        <f t="shared" ref="K14:K20" si="1">G14*J14</f>
        <v>3508.2</v>
      </c>
    </row>
    <row r="15" spans="1:53" s="9" customFormat="1" ht="25.5">
      <c r="A15"/>
      <c r="B15" s="4">
        <v>2</v>
      </c>
      <c r="C15" s="5" t="s">
        <v>19</v>
      </c>
      <c r="D15" s="5" t="s">
        <v>16</v>
      </c>
      <c r="E15" s="6" t="s">
        <v>20</v>
      </c>
      <c r="F15" s="5" t="s">
        <v>18</v>
      </c>
      <c r="G15" s="4">
        <v>79</v>
      </c>
      <c r="H15" s="4">
        <v>43.12</v>
      </c>
      <c r="I15" s="4">
        <v>4.8899999999999997</v>
      </c>
      <c r="J15" s="4">
        <f t="shared" si="0"/>
        <v>48.01</v>
      </c>
      <c r="K15" s="28">
        <f t="shared" si="1"/>
        <v>3792.79</v>
      </c>
    </row>
    <row r="16" spans="1:53" s="9" customFormat="1" ht="38.25">
      <c r="A16"/>
      <c r="B16" s="4">
        <v>3</v>
      </c>
      <c r="C16" s="5">
        <v>92543</v>
      </c>
      <c r="D16" s="5" t="s">
        <v>16</v>
      </c>
      <c r="E16" s="6" t="s">
        <v>21</v>
      </c>
      <c r="F16" s="5" t="s">
        <v>22</v>
      </c>
      <c r="G16" s="18">
        <v>50</v>
      </c>
      <c r="H16" s="5">
        <v>20.170000000000002</v>
      </c>
      <c r="I16" s="5">
        <v>3.21</v>
      </c>
      <c r="J16" s="4">
        <f t="shared" si="0"/>
        <v>23.380000000000003</v>
      </c>
      <c r="K16" s="28">
        <f t="shared" si="1"/>
        <v>1169.0000000000002</v>
      </c>
    </row>
    <row r="17" spans="1:13" s="9" customFormat="1" ht="25.5">
      <c r="A17"/>
      <c r="B17" s="4">
        <v>4</v>
      </c>
      <c r="C17" s="5">
        <v>94446</v>
      </c>
      <c r="D17" s="5" t="s">
        <v>16</v>
      </c>
      <c r="E17" s="6" t="s">
        <v>23</v>
      </c>
      <c r="F17" s="5" t="s">
        <v>22</v>
      </c>
      <c r="G17" s="5">
        <v>100</v>
      </c>
      <c r="H17" s="5">
        <f>0.03+49.01</f>
        <v>49.04</v>
      </c>
      <c r="I17" s="5">
        <f>11.88+0.02</f>
        <v>11.9</v>
      </c>
      <c r="J17" s="4">
        <f t="shared" si="0"/>
        <v>60.94</v>
      </c>
      <c r="K17" s="28">
        <f t="shared" si="1"/>
        <v>6094</v>
      </c>
    </row>
    <row r="18" spans="1:13" s="9" customFormat="1" ht="25.5">
      <c r="A18"/>
      <c r="B18" s="4">
        <v>5</v>
      </c>
      <c r="C18" s="5">
        <v>94218</v>
      </c>
      <c r="D18" s="5" t="s">
        <v>16</v>
      </c>
      <c r="E18" s="6" t="s">
        <v>24</v>
      </c>
      <c r="F18" s="5" t="s">
        <v>22</v>
      </c>
      <c r="G18" s="5">
        <v>30</v>
      </c>
      <c r="H18" s="5">
        <v>120.48</v>
      </c>
      <c r="I18" s="5">
        <v>4.5199999999999996</v>
      </c>
      <c r="J18" s="4">
        <f t="shared" si="0"/>
        <v>125</v>
      </c>
      <c r="K18" s="28">
        <f t="shared" si="1"/>
        <v>3750</v>
      </c>
    </row>
    <row r="19" spans="1:13" s="9" customFormat="1" ht="25.5">
      <c r="A19"/>
      <c r="B19" s="4">
        <v>6</v>
      </c>
      <c r="C19" s="5">
        <v>20101</v>
      </c>
      <c r="D19" s="5" t="s">
        <v>25</v>
      </c>
      <c r="E19" s="6" t="s">
        <v>26</v>
      </c>
      <c r="F19" s="5" t="s">
        <v>22</v>
      </c>
      <c r="G19" s="18">
        <v>50</v>
      </c>
      <c r="H19" s="5"/>
      <c r="I19" s="5">
        <v>4.84</v>
      </c>
      <c r="J19" s="4">
        <f t="shared" si="0"/>
        <v>4.84</v>
      </c>
      <c r="K19" s="28">
        <f t="shared" si="1"/>
        <v>242</v>
      </c>
    </row>
    <row r="20" spans="1:13" s="9" customFormat="1" ht="25.5">
      <c r="A20"/>
      <c r="B20" s="4">
        <v>7</v>
      </c>
      <c r="C20" s="5">
        <v>30105</v>
      </c>
      <c r="D20" s="5" t="s">
        <v>25</v>
      </c>
      <c r="E20" s="6" t="s">
        <v>464</v>
      </c>
      <c r="F20" s="5" t="s">
        <v>204</v>
      </c>
      <c r="G20" s="5">
        <v>24</v>
      </c>
      <c r="H20" s="5">
        <v>81.2</v>
      </c>
      <c r="I20" s="5">
        <v>7.49</v>
      </c>
      <c r="J20" s="4">
        <f t="shared" si="0"/>
        <v>88.69</v>
      </c>
      <c r="K20" s="28">
        <f t="shared" si="1"/>
        <v>2128.56</v>
      </c>
    </row>
    <row r="21" spans="1:13" s="9" customFormat="1">
      <c r="A21"/>
      <c r="B21" s="4">
        <v>8</v>
      </c>
      <c r="C21" s="5">
        <v>94207</v>
      </c>
      <c r="D21" s="5" t="s">
        <v>16</v>
      </c>
      <c r="E21" s="6" t="s">
        <v>465</v>
      </c>
      <c r="F21" s="5" t="s">
        <v>22</v>
      </c>
      <c r="G21" s="5">
        <v>20</v>
      </c>
      <c r="H21" s="5">
        <v>43.38</v>
      </c>
      <c r="I21" s="5">
        <v>4.05</v>
      </c>
      <c r="J21" s="4">
        <f t="shared" ref="J21" si="2">H21+I21</f>
        <v>47.43</v>
      </c>
      <c r="K21" s="28">
        <f t="shared" ref="K21" si="3">G21*J21</f>
        <v>948.6</v>
      </c>
    </row>
    <row r="22" spans="1:13" ht="38.25">
      <c r="B22" s="4">
        <v>9</v>
      </c>
      <c r="C22" s="5">
        <v>94446</v>
      </c>
      <c r="D22" s="5" t="s">
        <v>16</v>
      </c>
      <c r="E22" s="6" t="s">
        <v>466</v>
      </c>
      <c r="F22" s="5" t="s">
        <v>22</v>
      </c>
      <c r="G22" s="5">
        <v>500</v>
      </c>
      <c r="H22" s="5"/>
      <c r="I22" s="29">
        <f>9.13+6.33</f>
        <v>15.46</v>
      </c>
      <c r="J22" s="4">
        <f t="shared" ref="J22" si="4">H22+I22</f>
        <v>15.46</v>
      </c>
      <c r="K22" s="28">
        <f t="shared" ref="K22" si="5">G22*J22</f>
        <v>7730</v>
      </c>
    </row>
    <row r="23" spans="1:13" s="8" customFormat="1" ht="36.75" customHeight="1">
      <c r="B23" s="15">
        <v>10</v>
      </c>
      <c r="C23" s="19">
        <v>89529</v>
      </c>
      <c r="D23" s="20" t="s">
        <v>16</v>
      </c>
      <c r="E23" s="21" t="s">
        <v>189</v>
      </c>
      <c r="F23" s="20" t="s">
        <v>18</v>
      </c>
      <c r="G23" s="20">
        <v>2</v>
      </c>
      <c r="H23" s="15">
        <v>32.18</v>
      </c>
      <c r="I23" s="15">
        <v>4.0999999999999996</v>
      </c>
      <c r="J23" s="15">
        <f t="shared" ref="J23" si="6">H23+I23</f>
        <v>36.28</v>
      </c>
      <c r="K23" s="30">
        <f t="shared" ref="K23" si="7">G23*J23</f>
        <v>72.56</v>
      </c>
    </row>
    <row r="24" spans="1:13" s="8" customFormat="1" ht="25.5">
      <c r="B24" s="15">
        <v>11</v>
      </c>
      <c r="C24" s="19">
        <v>89512</v>
      </c>
      <c r="D24" s="20" t="s">
        <v>16</v>
      </c>
      <c r="E24" s="21" t="s">
        <v>188</v>
      </c>
      <c r="F24" s="20" t="s">
        <v>18</v>
      </c>
      <c r="G24" s="20">
        <v>6</v>
      </c>
      <c r="H24" s="15">
        <v>33.56</v>
      </c>
      <c r="I24" s="15">
        <v>12.92</v>
      </c>
      <c r="J24" s="15">
        <f t="shared" ref="J24" si="8">H24+I24</f>
        <v>46.480000000000004</v>
      </c>
      <c r="K24" s="30">
        <f t="shared" ref="K24" si="9">G24*J24</f>
        <v>278.88</v>
      </c>
    </row>
    <row r="25" spans="1:13" s="8" customFormat="1" ht="25.5">
      <c r="B25" s="15">
        <v>12</v>
      </c>
      <c r="C25" s="19">
        <v>98547</v>
      </c>
      <c r="D25" s="20" t="s">
        <v>16</v>
      </c>
      <c r="E25" s="21" t="s">
        <v>469</v>
      </c>
      <c r="F25" s="5" t="s">
        <v>22</v>
      </c>
      <c r="G25" s="20">
        <v>15</v>
      </c>
      <c r="H25" s="15">
        <v>163.61000000000001</v>
      </c>
      <c r="I25" s="15">
        <v>30.027000000000001</v>
      </c>
      <c r="J25" s="15">
        <f t="shared" ref="J25" si="10">H25+I25</f>
        <v>193.637</v>
      </c>
      <c r="K25" s="30">
        <f t="shared" ref="K25" si="11">G25*J25</f>
        <v>2904.5549999999998</v>
      </c>
    </row>
    <row r="26" spans="1:13">
      <c r="B26" s="4"/>
      <c r="C26" s="5"/>
      <c r="D26" s="5"/>
      <c r="E26" s="6"/>
      <c r="F26" s="5"/>
      <c r="G26" s="85" t="s">
        <v>360</v>
      </c>
      <c r="H26" s="86"/>
      <c r="I26" s="22"/>
      <c r="J26" s="22"/>
      <c r="K26" s="31">
        <f>SUM(K14:K25)</f>
        <v>32619.145</v>
      </c>
      <c r="M26">
        <v>0.24</v>
      </c>
    </row>
    <row r="27" spans="1:13">
      <c r="B27" s="4"/>
      <c r="C27" s="5"/>
      <c r="D27" s="5"/>
      <c r="E27" s="6"/>
      <c r="F27" s="5"/>
      <c r="G27" s="85" t="s">
        <v>361</v>
      </c>
      <c r="H27" s="86"/>
      <c r="I27" s="22"/>
      <c r="J27" s="22"/>
      <c r="K27" s="31">
        <f>((24/100)*K26)</f>
        <v>7828.5947999999999</v>
      </c>
      <c r="L27" s="32"/>
    </row>
    <row r="28" spans="1:13">
      <c r="B28" s="4"/>
      <c r="C28" s="5"/>
      <c r="D28" s="5"/>
      <c r="E28" s="6"/>
      <c r="F28" s="5"/>
      <c r="G28" s="87" t="s">
        <v>362</v>
      </c>
      <c r="H28" s="88"/>
      <c r="I28" s="23"/>
      <c r="J28" s="23"/>
      <c r="K28" s="31">
        <f>SUM(K26:K27)</f>
        <v>40447.739800000003</v>
      </c>
      <c r="M28" s="32"/>
    </row>
    <row r="30" spans="1:13">
      <c r="E30" s="24" t="s">
        <v>363</v>
      </c>
    </row>
    <row r="31" spans="1:13">
      <c r="E31" s="24" t="s">
        <v>364</v>
      </c>
    </row>
    <row r="32" spans="1:13">
      <c r="E32" s="24" t="s">
        <v>365</v>
      </c>
    </row>
    <row r="33" spans="5:5">
      <c r="E33" s="24" t="s">
        <v>366</v>
      </c>
    </row>
    <row r="34" spans="5:5">
      <c r="E34" s="106" t="s">
        <v>470</v>
      </c>
    </row>
    <row r="35" spans="5:5">
      <c r="E35"/>
    </row>
    <row r="36" spans="5:5">
      <c r="E36" s="25" t="s">
        <v>367</v>
      </c>
    </row>
  </sheetData>
  <mergeCells count="3">
    <mergeCell ref="G26:H26"/>
    <mergeCell ref="G27:H27"/>
    <mergeCell ref="G28:H28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5"/>
  <sheetViews>
    <sheetView workbookViewId="0">
      <selection activeCell="D5" sqref="D5"/>
    </sheetView>
  </sheetViews>
  <sheetFormatPr defaultColWidth="9" defaultRowHeight="12.75"/>
  <cols>
    <col min="5" max="5" width="36.42578125" customWidth="1"/>
  </cols>
  <sheetData>
    <row r="3" spans="2:9">
      <c r="B3" s="1" t="s">
        <v>462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 t="s">
        <v>467</v>
      </c>
      <c r="I3" s="3" t="s">
        <v>13</v>
      </c>
    </row>
    <row r="4" spans="2:9" ht="63.75">
      <c r="B4" s="4">
        <v>1</v>
      </c>
      <c r="C4" s="5" t="s">
        <v>15</v>
      </c>
      <c r="D4" s="5" t="s">
        <v>16</v>
      </c>
      <c r="E4" s="6" t="s">
        <v>463</v>
      </c>
      <c r="F4" s="7" t="s">
        <v>18</v>
      </c>
      <c r="G4" s="7">
        <v>1</v>
      </c>
      <c r="H4" s="7">
        <v>58.47</v>
      </c>
      <c r="I4" s="7">
        <f>G4*H4</f>
        <v>58.47</v>
      </c>
    </row>
    <row r="5" spans="2:9">
      <c r="B5" t="s">
        <v>468</v>
      </c>
      <c r="C5">
        <v>142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SINTETICO</vt:lpstr>
      <vt:lpstr>Memorial de Cálculo</vt:lpstr>
      <vt:lpstr>BDI</vt:lpstr>
      <vt:lpstr>Planilha3</vt:lpstr>
      <vt:lpstr>SINTETICO (2)</vt:lpstr>
      <vt:lpstr>Planilha1</vt:lpstr>
      <vt:lpstr>BDI!Area_de_impressao</vt:lpstr>
      <vt:lpstr>SINTETICO!Area_de_impressao</vt:lpstr>
      <vt:lpstr>'SINTETICO (2)'!Area_de_impressao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</dc:creator>
  <cp:lastModifiedBy>Luciana Freire d Eca Nogueira Santos</cp:lastModifiedBy>
  <cp:lastPrinted>2023-08-30T17:32:03Z</cp:lastPrinted>
  <dcterms:created xsi:type="dcterms:W3CDTF">2023-04-17T15:47:00Z</dcterms:created>
  <dcterms:modified xsi:type="dcterms:W3CDTF">2023-09-01T18:38:43Z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F5734061A5644FD1883DB3F81C9DC71F_13</vt:lpwstr>
  </property>
  <property fmtid="{D5CDD505-2E9C-101B-9397-08002B2CF9AE}" pid="3" name="KSOProductBuildVer">
    <vt:lpwstr>1046-12.2.0.13181</vt:lpwstr>
  </property>
</Properties>
</file>